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"/>
    </mc:Choice>
  </mc:AlternateContent>
  <bookViews>
    <workbookView xWindow="240" yWindow="315" windowWidth="14955" windowHeight="8955"/>
  </bookViews>
  <sheets>
    <sheet name="запчасти  ассортимент" sheetId="1" r:id="rId1"/>
    <sheet name="кормас" sheetId="2" r:id="rId2"/>
    <sheet name="втулки" sheetId="4" r:id="rId3"/>
    <sheet name="вебасто" sheetId="5" r:id="rId4"/>
  </sheets>
  <definedNames>
    <definedName name="_xlnm._FilterDatabase" localSheetId="0" hidden="1">'запчасти  ассортимент'!$D$13:$D$1024</definedName>
  </definedNames>
  <calcPr calcId="152511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D55" i="5" l="1"/>
  <c r="D54" i="5"/>
  <c r="D53" i="5"/>
  <c r="D52" i="5"/>
  <c r="D51" i="5"/>
  <c r="D50" i="5"/>
  <c r="D49" i="5"/>
  <c r="D48" i="5"/>
  <c r="D47" i="5"/>
  <c r="D46" i="5"/>
  <c r="D22" i="5"/>
  <c r="D21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3" i="5"/>
  <c r="D27" i="5"/>
  <c r="D28" i="5"/>
  <c r="D26" i="5"/>
  <c r="D24" i="5"/>
  <c r="D20" i="5"/>
  <c r="D19" i="5"/>
  <c r="D25" i="5"/>
  <c r="D18" i="5"/>
  <c r="D16" i="5"/>
  <c r="D15" i="5"/>
  <c r="D17" i="5"/>
  <c r="E912" i="1"/>
  <c r="H912" i="1" s="1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6" i="4"/>
  <c r="D60" i="4"/>
  <c r="D27" i="4"/>
  <c r="D59" i="4"/>
  <c r="D58" i="4"/>
  <c r="D100" i="4"/>
  <c r="D86" i="4"/>
  <c r="D85" i="4"/>
  <c r="D57" i="4"/>
  <c r="D74" i="4"/>
  <c r="D73" i="4"/>
  <c r="D72" i="4"/>
  <c r="D83" i="4"/>
  <c r="D99" i="4"/>
  <c r="D98" i="4"/>
  <c r="D97" i="4"/>
  <c r="D61" i="4"/>
  <c r="D96" i="4"/>
  <c r="D71" i="4"/>
  <c r="D95" i="4"/>
  <c r="D32" i="4"/>
  <c r="D31" i="4"/>
  <c r="D30" i="4"/>
  <c r="D29" i="4"/>
  <c r="D56" i="4"/>
  <c r="D24" i="4"/>
  <c r="D54" i="4"/>
  <c r="D55" i="4"/>
  <c r="D23" i="4"/>
  <c r="D28" i="4"/>
  <c r="D53" i="4"/>
  <c r="D26" i="4"/>
  <c r="D25" i="4"/>
  <c r="D22" i="4"/>
  <c r="D21" i="4"/>
  <c r="D20" i="4"/>
  <c r="D52" i="4"/>
  <c r="D19" i="4"/>
  <c r="D70" i="4"/>
  <c r="D18" i="4"/>
  <c r="D94" i="4"/>
  <c r="D93" i="4"/>
  <c r="D92" i="4"/>
  <c r="D82" i="4"/>
  <c r="D91" i="4"/>
  <c r="D81" i="4"/>
  <c r="D84" i="4"/>
  <c r="D80" i="4"/>
  <c r="D79" i="4"/>
  <c r="D78" i="4"/>
  <c r="D90" i="4"/>
  <c r="D89" i="4"/>
  <c r="D51" i="4"/>
  <c r="D77" i="4"/>
  <c r="D76" i="4"/>
  <c r="D50" i="4"/>
  <c r="D49" i="4"/>
  <c r="D75" i="4"/>
  <c r="D88" i="4"/>
  <c r="D69" i="4"/>
  <c r="D48" i="4"/>
  <c r="D87" i="4"/>
  <c r="D68" i="4"/>
  <c r="D47" i="4"/>
  <c r="D67" i="4"/>
  <c r="D46" i="4"/>
  <c r="D45" i="4"/>
  <c r="D65" i="4"/>
  <c r="D64" i="4"/>
  <c r="D44" i="4"/>
  <c r="D43" i="4"/>
  <c r="D42" i="4"/>
  <c r="D41" i="4"/>
  <c r="D40" i="4"/>
  <c r="D39" i="4"/>
  <c r="D66" i="4"/>
  <c r="D38" i="4"/>
  <c r="D63" i="4"/>
  <c r="D37" i="4"/>
  <c r="D36" i="4"/>
  <c r="D35" i="4"/>
  <c r="D62" i="4"/>
  <c r="D34" i="4"/>
  <c r="D33" i="4"/>
  <c r="D17" i="4"/>
  <c r="E17" i="4" s="1"/>
  <c r="D16" i="4"/>
  <c r="D15" i="4"/>
  <c r="F15" i="4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G38" i="2"/>
  <c r="G52" i="2"/>
  <c r="G56" i="2"/>
  <c r="G60" i="2"/>
  <c r="G62" i="2"/>
  <c r="G64" i="2"/>
  <c r="G68" i="2"/>
  <c r="G72" i="2"/>
  <c r="G76" i="2"/>
  <c r="G78" i="2"/>
  <c r="G80" i="2"/>
  <c r="F35" i="2"/>
  <c r="F37" i="2"/>
  <c r="F39" i="2"/>
  <c r="F41" i="2"/>
  <c r="F43" i="2"/>
  <c r="F45" i="2"/>
  <c r="F47" i="2"/>
  <c r="F49" i="2"/>
  <c r="F51" i="2"/>
  <c r="F53" i="2"/>
  <c r="F55" i="2"/>
  <c r="F57" i="2"/>
  <c r="F59" i="2"/>
  <c r="F61" i="2"/>
  <c r="F63" i="2"/>
  <c r="F65" i="2"/>
  <c r="F67" i="2"/>
  <c r="F69" i="2"/>
  <c r="F71" i="2"/>
  <c r="F73" i="2"/>
  <c r="F75" i="2"/>
  <c r="F79" i="2"/>
  <c r="F81" i="2"/>
  <c r="E27" i="2"/>
  <c r="E31" i="2"/>
  <c r="E35" i="2"/>
  <c r="E37" i="2"/>
  <c r="E39" i="2"/>
  <c r="E41" i="2"/>
  <c r="E43" i="2"/>
  <c r="E45" i="2"/>
  <c r="E47" i="2"/>
  <c r="E49" i="2"/>
  <c r="E51" i="2"/>
  <c r="E53" i="2"/>
  <c r="E55" i="2"/>
  <c r="E57" i="2"/>
  <c r="E59" i="2"/>
  <c r="E61" i="2"/>
  <c r="E63" i="2"/>
  <c r="E65" i="2"/>
  <c r="E67" i="2"/>
  <c r="E69" i="2"/>
  <c r="E71" i="2"/>
  <c r="E73" i="2"/>
  <c r="E75" i="2"/>
  <c r="E79" i="2"/>
  <c r="E81" i="2"/>
  <c r="D78" i="2"/>
  <c r="F78" i="2" s="1"/>
  <c r="D33" i="2"/>
  <c r="G33" i="2" s="1"/>
  <c r="D81" i="2"/>
  <c r="G81" i="2" s="1"/>
  <c r="D80" i="2"/>
  <c r="D79" i="2"/>
  <c r="G79" i="2" s="1"/>
  <c r="D77" i="2"/>
  <c r="G77" i="2" s="1"/>
  <c r="D73" i="2"/>
  <c r="G73" i="2" s="1"/>
  <c r="D72" i="2"/>
  <c r="D71" i="2"/>
  <c r="G71" i="2" s="1"/>
  <c r="D76" i="2"/>
  <c r="D75" i="2"/>
  <c r="G75" i="2" s="1"/>
  <c r="D74" i="2"/>
  <c r="D26" i="2"/>
  <c r="E26" i="2" s="1"/>
  <c r="D66" i="2"/>
  <c r="D65" i="2"/>
  <c r="G65" i="2" s="1"/>
  <c r="D58" i="2"/>
  <c r="D38" i="2"/>
  <c r="F38" i="2" s="1"/>
  <c r="D70" i="2"/>
  <c r="D69" i="2"/>
  <c r="G69" i="2" s="1"/>
  <c r="D68" i="2"/>
  <c r="D64" i="2"/>
  <c r="F64" i="2" s="1"/>
  <c r="D67" i="2"/>
  <c r="G67" i="2" s="1"/>
  <c r="D37" i="2"/>
  <c r="G37" i="2" s="1"/>
  <c r="D63" i="2"/>
  <c r="G63" i="2" s="1"/>
  <c r="D62" i="2"/>
  <c r="F62" i="2" s="1"/>
  <c r="D60" i="2"/>
  <c r="D61" i="2"/>
  <c r="G61" i="2" s="1"/>
  <c r="D59" i="2"/>
  <c r="G59" i="2" s="1"/>
  <c r="D57" i="2"/>
  <c r="G57" i="2" s="1"/>
  <c r="D56" i="2"/>
  <c r="D55" i="2"/>
  <c r="G55" i="2" s="1"/>
  <c r="D54" i="2"/>
  <c r="D53" i="2"/>
  <c r="G53" i="2" s="1"/>
  <c r="D52" i="2"/>
  <c r="D51" i="2"/>
  <c r="G51" i="2" s="1"/>
  <c r="D50" i="2"/>
  <c r="D49" i="2"/>
  <c r="G49" i="2" s="1"/>
  <c r="D48" i="2"/>
  <c r="D47" i="2"/>
  <c r="G47" i="2" s="1"/>
  <c r="D46" i="2"/>
  <c r="D45" i="2"/>
  <c r="G45" i="2" s="1"/>
  <c r="D44" i="2"/>
  <c r="D43" i="2"/>
  <c r="G43" i="2" s="1"/>
  <c r="D42" i="2"/>
  <c r="D41" i="2"/>
  <c r="G41" i="2" s="1"/>
  <c r="D40" i="2"/>
  <c r="D39" i="2"/>
  <c r="G39" i="2" s="1"/>
  <c r="D36" i="2"/>
  <c r="D35" i="2"/>
  <c r="G35" i="2" s="1"/>
  <c r="D34" i="2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5" i="2"/>
  <c r="G25" i="2" s="1"/>
  <c r="D24" i="2"/>
  <c r="D23" i="2"/>
  <c r="G23" i="2" s="1"/>
  <c r="G24" i="2"/>
  <c r="F23" i="2"/>
  <c r="F24" i="2"/>
  <c r="F25" i="2"/>
  <c r="E24" i="2"/>
  <c r="D22" i="2"/>
  <c r="F22" i="2" s="1"/>
  <c r="D21" i="2"/>
  <c r="G21" i="2" s="1"/>
  <c r="D20" i="2"/>
  <c r="G20" i="2" s="1"/>
  <c r="D19" i="2"/>
  <c r="F19" i="2" s="1"/>
  <c r="D18" i="2"/>
  <c r="G18" i="2" s="1"/>
  <c r="D17" i="2"/>
  <c r="G17" i="2" s="1"/>
  <c r="D16" i="2"/>
  <c r="E16" i="2" s="1"/>
  <c r="D15" i="2"/>
  <c r="E15" i="2" s="1"/>
  <c r="D14" i="2"/>
  <c r="F14" i="2" s="1"/>
  <c r="G15" i="2"/>
  <c r="D13" i="2"/>
  <c r="F13" i="2" s="1"/>
  <c r="D12" i="2"/>
  <c r="G12" i="2" s="1"/>
  <c r="H916" i="1"/>
  <c r="F916" i="1"/>
  <c r="E916" i="1"/>
  <c r="G916" i="1" s="1"/>
  <c r="E915" i="1"/>
  <c r="H915" i="1" s="1"/>
  <c r="E843" i="1"/>
  <c r="H843" i="1" s="1"/>
  <c r="E1001" i="1"/>
  <c r="F1000" i="1"/>
  <c r="E1000" i="1"/>
  <c r="G1000" i="1" s="1"/>
  <c r="E914" i="1"/>
  <c r="G914" i="1" s="1"/>
  <c r="F993" i="1"/>
  <c r="E993" i="1"/>
  <c r="G993" i="1" s="1"/>
  <c r="E770" i="1"/>
  <c r="G770" i="1" s="1"/>
  <c r="E522" i="1"/>
  <c r="E520" i="1"/>
  <c r="E519" i="1"/>
  <c r="E518" i="1"/>
  <c r="E516" i="1"/>
  <c r="E517" i="1"/>
  <c r="E515" i="1"/>
  <c r="E514" i="1"/>
  <c r="E513" i="1"/>
  <c r="E512" i="1"/>
  <c r="E511" i="1"/>
  <c r="E510" i="1"/>
  <c r="E509" i="1"/>
  <c r="E508" i="1"/>
  <c r="E507" i="1"/>
  <c r="E505" i="1"/>
  <c r="E506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H770" i="1" l="1"/>
  <c r="H914" i="1"/>
  <c r="G912" i="1"/>
  <c r="F770" i="1"/>
  <c r="H993" i="1"/>
  <c r="F914" i="1"/>
  <c r="H1000" i="1"/>
  <c r="F912" i="1"/>
  <c r="E16" i="4"/>
  <c r="F17" i="4"/>
  <c r="F16" i="4"/>
  <c r="E15" i="4"/>
  <c r="G15" i="4"/>
  <c r="F34" i="2"/>
  <c r="E34" i="2"/>
  <c r="G34" i="2"/>
  <c r="F36" i="2"/>
  <c r="E36" i="2"/>
  <c r="G36" i="2"/>
  <c r="F40" i="2"/>
  <c r="E40" i="2"/>
  <c r="G40" i="2"/>
  <c r="F42" i="2"/>
  <c r="E42" i="2"/>
  <c r="G42" i="2"/>
  <c r="F44" i="2"/>
  <c r="E44" i="2"/>
  <c r="G44" i="2"/>
  <c r="F46" i="2"/>
  <c r="E46" i="2"/>
  <c r="G46" i="2"/>
  <c r="F48" i="2"/>
  <c r="E48" i="2"/>
  <c r="G48" i="2"/>
  <c r="F50" i="2"/>
  <c r="E50" i="2"/>
  <c r="F52" i="2"/>
  <c r="E52" i="2"/>
  <c r="F54" i="2"/>
  <c r="E54" i="2"/>
  <c r="F56" i="2"/>
  <c r="E56" i="2"/>
  <c r="F60" i="2"/>
  <c r="E60" i="2"/>
  <c r="F68" i="2"/>
  <c r="E68" i="2"/>
  <c r="F70" i="2"/>
  <c r="E70" i="2"/>
  <c r="F58" i="2"/>
  <c r="E58" i="2"/>
  <c r="F66" i="2"/>
  <c r="E66" i="2"/>
  <c r="F74" i="2"/>
  <c r="E74" i="2"/>
  <c r="F76" i="2"/>
  <c r="E76" i="2"/>
  <c r="F72" i="2"/>
  <c r="E72" i="2"/>
  <c r="F80" i="2"/>
  <c r="E80" i="2"/>
  <c r="E77" i="2"/>
  <c r="E33" i="2"/>
  <c r="E29" i="2"/>
  <c r="F77" i="2"/>
  <c r="F33" i="2"/>
  <c r="G74" i="2"/>
  <c r="G70" i="2"/>
  <c r="G66" i="2"/>
  <c r="G58" i="2"/>
  <c r="G54" i="2"/>
  <c r="G50" i="2"/>
  <c r="E78" i="2"/>
  <c r="E64" i="2"/>
  <c r="E62" i="2"/>
  <c r="E38" i="2"/>
  <c r="E32" i="2"/>
  <c r="E30" i="2"/>
  <c r="E28" i="2"/>
  <c r="G843" i="1"/>
  <c r="F843" i="1"/>
  <c r="F915" i="1"/>
  <c r="G915" i="1"/>
  <c r="F30" i="2"/>
  <c r="F32" i="2"/>
  <c r="F28" i="2"/>
  <c r="F31" i="2"/>
  <c r="F29" i="2"/>
  <c r="E22" i="2"/>
  <c r="F20" i="2"/>
  <c r="E25" i="2"/>
  <c r="E23" i="2"/>
  <c r="F27" i="2"/>
  <c r="F16" i="2"/>
  <c r="E20" i="2"/>
  <c r="G22" i="2"/>
  <c r="E17" i="2"/>
  <c r="F17" i="2"/>
  <c r="F15" i="2"/>
  <c r="E19" i="2"/>
  <c r="G19" i="2"/>
  <c r="E21" i="2"/>
  <c r="F21" i="2"/>
  <c r="G16" i="2"/>
  <c r="G14" i="2"/>
  <c r="G13" i="2"/>
  <c r="E13" i="2"/>
  <c r="E18" i="2"/>
  <c r="F18" i="2"/>
  <c r="E14" i="2"/>
  <c r="F12" i="2"/>
  <c r="E12" i="2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6" i="1"/>
  <c r="E465" i="1"/>
  <c r="E464" i="1"/>
  <c r="E463" i="1"/>
  <c r="E462" i="1"/>
  <c r="E461" i="1"/>
  <c r="E459" i="1"/>
  <c r="E455" i="1"/>
  <c r="E454" i="1"/>
  <c r="E453" i="1"/>
  <c r="E452" i="1"/>
  <c r="E451" i="1"/>
  <c r="E968" i="1"/>
  <c r="H968" i="1" s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G968" i="1" l="1"/>
  <c r="F968" i="1"/>
  <c r="E415" i="1"/>
  <c r="E414" i="1"/>
  <c r="E413" i="1"/>
  <c r="E412" i="1"/>
  <c r="E411" i="1"/>
  <c r="E410" i="1"/>
  <c r="E409" i="1"/>
  <c r="E408" i="1"/>
  <c r="E407" i="1"/>
  <c r="E406" i="1"/>
  <c r="E405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 l="1"/>
  <c r="E386" i="1"/>
  <c r="E385" i="1"/>
  <c r="E384" i="1"/>
  <c r="E383" i="1"/>
  <c r="E382" i="1"/>
  <c r="E381" i="1"/>
  <c r="E380" i="1"/>
  <c r="E379" i="1"/>
  <c r="E378" i="1"/>
  <c r="E213" i="1"/>
  <c r="G213" i="1" s="1"/>
  <c r="E377" i="1"/>
  <c r="E376" i="1"/>
  <c r="E375" i="1"/>
  <c r="E374" i="1"/>
  <c r="E373" i="1"/>
  <c r="E372" i="1"/>
  <c r="E370" i="1"/>
  <c r="E371" i="1"/>
  <c r="E369" i="1"/>
  <c r="E368" i="1"/>
  <c r="E367" i="1"/>
  <c r="E366" i="1"/>
  <c r="E365" i="1"/>
  <c r="E364" i="1"/>
  <c r="E363" i="1"/>
  <c r="E362" i="1"/>
  <c r="E361" i="1"/>
  <c r="E360" i="1"/>
  <c r="E96" i="1"/>
  <c r="H96" i="1" s="1"/>
  <c r="E359" i="1"/>
  <c r="E358" i="1"/>
  <c r="E357" i="1"/>
  <c r="E1174" i="1"/>
  <c r="E1173" i="1"/>
  <c r="E1172" i="1"/>
  <c r="E1171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H1127" i="1" s="1"/>
  <c r="E1126" i="1"/>
  <c r="H1126" i="1" s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6" i="1"/>
  <c r="E1095" i="1"/>
  <c r="E1094" i="1"/>
  <c r="E1093" i="1"/>
  <c r="E1092" i="1"/>
  <c r="E1091" i="1"/>
  <c r="E1090" i="1"/>
  <c r="E1089" i="1"/>
  <c r="E1088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913" i="1"/>
  <c r="H913" i="1" s="1"/>
  <c r="E1063" i="1"/>
  <c r="H1063" i="1" s="1"/>
  <c r="E1062" i="1"/>
  <c r="H1062" i="1" s="1"/>
  <c r="E1061" i="1"/>
  <c r="H1061" i="1" s="1"/>
  <c r="E1060" i="1"/>
  <c r="H1060" i="1" s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7" i="1"/>
  <c r="E1028" i="1"/>
  <c r="E1029" i="1"/>
  <c r="E1026" i="1"/>
  <c r="E1025" i="1"/>
  <c r="E1024" i="1"/>
  <c r="E1023" i="1"/>
  <c r="E1022" i="1"/>
  <c r="E1021" i="1"/>
  <c r="E625" i="1"/>
  <c r="H625" i="1" s="1"/>
  <c r="E1020" i="1"/>
  <c r="E1019" i="1"/>
  <c r="E1017" i="1"/>
  <c r="E1016" i="1"/>
  <c r="E1015" i="1"/>
  <c r="E1014" i="1"/>
  <c r="E1013" i="1"/>
  <c r="E1012" i="1"/>
  <c r="F213" i="1" l="1"/>
  <c r="G96" i="1"/>
  <c r="F96" i="1"/>
  <c r="G1127" i="1"/>
  <c r="F1127" i="1"/>
  <c r="F1126" i="1"/>
  <c r="G1126" i="1"/>
  <c r="F1062" i="1"/>
  <c r="F1060" i="1"/>
  <c r="G1062" i="1"/>
  <c r="G1060" i="1"/>
  <c r="F913" i="1"/>
  <c r="G913" i="1"/>
  <c r="F1063" i="1"/>
  <c r="F1061" i="1"/>
  <c r="G1063" i="1"/>
  <c r="G1061" i="1"/>
  <c r="G625" i="1"/>
  <c r="F625" i="1"/>
  <c r="E999" i="1"/>
  <c r="E911" i="1"/>
  <c r="H911" i="1" l="1"/>
  <c r="G911" i="1"/>
  <c r="F911" i="1"/>
  <c r="E842" i="1"/>
  <c r="H842" i="1" s="1"/>
  <c r="E841" i="1"/>
  <c r="H841" i="1" s="1"/>
  <c r="E998" i="1"/>
  <c r="E997" i="1"/>
  <c r="E996" i="1"/>
  <c r="E995" i="1"/>
  <c r="E994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7" i="1"/>
  <c r="E966" i="1"/>
  <c r="E965" i="1"/>
  <c r="E964" i="1"/>
  <c r="E963" i="1"/>
  <c r="E962" i="1"/>
  <c r="E961" i="1"/>
  <c r="E960" i="1"/>
  <c r="E959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H936" i="1" s="1"/>
  <c r="E935" i="1"/>
  <c r="H935" i="1" s="1"/>
  <c r="E934" i="1"/>
  <c r="H934" i="1" s="1"/>
  <c r="E933" i="1"/>
  <c r="H933" i="1" s="1"/>
  <c r="E930" i="1"/>
  <c r="H930" i="1" s="1"/>
  <c r="E932" i="1"/>
  <c r="H932" i="1" s="1"/>
  <c r="E931" i="1"/>
  <c r="H931" i="1" s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0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87" i="1"/>
  <c r="E886" i="1"/>
  <c r="E885" i="1"/>
  <c r="E884" i="1"/>
  <c r="E883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8" i="1"/>
  <c r="E869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4" i="1"/>
  <c r="E823" i="1"/>
  <c r="E822" i="1"/>
  <c r="E820" i="1"/>
  <c r="E821" i="1"/>
  <c r="E819" i="1"/>
  <c r="E818" i="1"/>
  <c r="E817" i="1"/>
  <c r="E815" i="1"/>
  <c r="E812" i="1"/>
  <c r="E811" i="1"/>
  <c r="E808" i="1"/>
  <c r="E807" i="1"/>
  <c r="E804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69" i="1"/>
  <c r="E768" i="1"/>
  <c r="E767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699" i="1"/>
  <c r="E700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3" i="1"/>
  <c r="E674" i="1"/>
  <c r="F936" i="1" l="1"/>
  <c r="G842" i="1"/>
  <c r="F842" i="1"/>
  <c r="G841" i="1"/>
  <c r="G932" i="1"/>
  <c r="F841" i="1"/>
  <c r="F932" i="1"/>
  <c r="F934" i="1"/>
  <c r="F930" i="1"/>
  <c r="G934" i="1"/>
  <c r="G930" i="1"/>
  <c r="F935" i="1"/>
  <c r="F933" i="1"/>
  <c r="F931" i="1"/>
  <c r="G935" i="1"/>
  <c r="G933" i="1"/>
  <c r="G931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1" i="1"/>
  <c r="E639" i="1"/>
  <c r="E638" i="1"/>
  <c r="E637" i="1"/>
  <c r="E635" i="1"/>
  <c r="E634" i="1"/>
  <c r="E633" i="1"/>
  <c r="E631" i="1"/>
  <c r="E630" i="1"/>
  <c r="E629" i="1"/>
  <c r="E628" i="1"/>
  <c r="E627" i="1"/>
  <c r="E626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5" i="1"/>
  <c r="E576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 l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 l="1"/>
  <c r="E543" i="1"/>
  <c r="E542" i="1" l="1"/>
  <c r="E541" i="1"/>
  <c r="E539" i="1"/>
  <c r="E540" i="1"/>
  <c r="E538" i="1"/>
  <c r="E356" i="1" l="1"/>
  <c r="H356" i="1" s="1"/>
  <c r="E355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6" i="1"/>
  <c r="E327" i="1"/>
  <c r="G356" i="1" l="1"/>
  <c r="F356" i="1"/>
  <c r="E354" i="1"/>
  <c r="E353" i="1"/>
  <c r="E1011" i="1"/>
  <c r="H1011" i="1" s="1"/>
  <c r="E217" i="1"/>
  <c r="H217" i="1" s="1"/>
  <c r="E890" i="1"/>
  <c r="H890" i="1" s="1"/>
  <c r="E909" i="1"/>
  <c r="H909" i="1" s="1"/>
  <c r="E889" i="1"/>
  <c r="H889" i="1" s="1"/>
  <c r="E888" i="1"/>
  <c r="H888" i="1" s="1"/>
  <c r="E537" i="1"/>
  <c r="G537" i="1" s="1"/>
  <c r="E536" i="1"/>
  <c r="G536" i="1" s="1"/>
  <c r="H213" i="1"/>
  <c r="E185" i="1"/>
  <c r="G185" i="1" s="1"/>
  <c r="E535" i="1"/>
  <c r="G535" i="1" s="1"/>
  <c r="E816" i="1"/>
  <c r="E100" i="1"/>
  <c r="H100" i="1" s="1"/>
  <c r="E99" i="1"/>
  <c r="H99" i="1" s="1"/>
  <c r="E98" i="1"/>
  <c r="H98" i="1" s="1"/>
  <c r="H326" i="1"/>
  <c r="E323" i="1"/>
  <c r="H323" i="1" s="1"/>
  <c r="E1009" i="1"/>
  <c r="G1009" i="1" s="1"/>
  <c r="E1010" i="1"/>
  <c r="G1010" i="1" s="1"/>
  <c r="E1007" i="1"/>
  <c r="H1007" i="1" s="1"/>
  <c r="E1008" i="1"/>
  <c r="H1008" i="1" s="1"/>
  <c r="E1006" i="1"/>
  <c r="F1006" i="1" s="1"/>
  <c r="E534" i="1"/>
  <c r="G534" i="1" s="1"/>
  <c r="E530" i="1"/>
  <c r="G530" i="1" s="1"/>
  <c r="E533" i="1"/>
  <c r="H533" i="1" s="1"/>
  <c r="E532" i="1"/>
  <c r="H532" i="1" s="1"/>
  <c r="H534" i="1"/>
  <c r="F532" i="1"/>
  <c r="F534" i="1"/>
  <c r="E531" i="1"/>
  <c r="H531" i="1" s="1"/>
  <c r="E529" i="1"/>
  <c r="H529" i="1" s="1"/>
  <c r="E528" i="1"/>
  <c r="G528" i="1" s="1"/>
  <c r="E527" i="1"/>
  <c r="F527" i="1" s="1"/>
  <c r="E526" i="1"/>
  <c r="G526" i="1" s="1"/>
  <c r="E525" i="1"/>
  <c r="H525" i="1" s="1"/>
  <c r="E524" i="1"/>
  <c r="H524" i="1" s="1"/>
  <c r="E523" i="1"/>
  <c r="F523" i="1" s="1"/>
  <c r="H526" i="1"/>
  <c r="G527" i="1"/>
  <c r="G538" i="1"/>
  <c r="E803" i="1"/>
  <c r="H803" i="1" s="1"/>
  <c r="E802" i="1"/>
  <c r="H802" i="1" s="1"/>
  <c r="E801" i="1"/>
  <c r="H801" i="1" s="1"/>
  <c r="E800" i="1"/>
  <c r="H800" i="1" s="1"/>
  <c r="E799" i="1"/>
  <c r="G799" i="1" s="1"/>
  <c r="E796" i="1"/>
  <c r="G796" i="1" s="1"/>
  <c r="E806" i="1"/>
  <c r="G806" i="1" s="1"/>
  <c r="E793" i="1"/>
  <c r="E805" i="1"/>
  <c r="E795" i="1"/>
  <c r="G804" i="1"/>
  <c r="E798" i="1"/>
  <c r="F798" i="1" s="1"/>
  <c r="E797" i="1"/>
  <c r="H797" i="1" s="1"/>
  <c r="G795" i="1"/>
  <c r="E794" i="1"/>
  <c r="E813" i="1"/>
  <c r="E810" i="1"/>
  <c r="E809" i="1"/>
  <c r="E791" i="1"/>
  <c r="E792" i="1"/>
  <c r="E814" i="1"/>
  <c r="E467" i="1"/>
  <c r="E460" i="1"/>
  <c r="E457" i="1"/>
  <c r="E458" i="1"/>
  <c r="G458" i="1" s="1"/>
  <c r="E205" i="1"/>
  <c r="G205" i="1" s="1"/>
  <c r="E208" i="1"/>
  <c r="F208" i="1" s="1"/>
  <c r="E203" i="1"/>
  <c r="G203" i="1" s="1"/>
  <c r="E766" i="1"/>
  <c r="E202" i="1"/>
  <c r="F202" i="1" s="1"/>
  <c r="E201" i="1"/>
  <c r="G201" i="1" s="1"/>
  <c r="E216" i="1"/>
  <c r="F216" i="1" s="1"/>
  <c r="E215" i="1"/>
  <c r="G215" i="1" s="1"/>
  <c r="E765" i="1"/>
  <c r="F765" i="1" s="1"/>
  <c r="E272" i="1"/>
  <c r="G272" i="1" s="1"/>
  <c r="E271" i="1"/>
  <c r="F271" i="1" s="1"/>
  <c r="E270" i="1"/>
  <c r="F270" i="1" s="1"/>
  <c r="E825" i="1"/>
  <c r="G825" i="1" s="1"/>
  <c r="E521" i="1"/>
  <c r="F521" i="1" s="1"/>
  <c r="E184" i="1"/>
  <c r="G184" i="1" s="1"/>
  <c r="E212" i="1"/>
  <c r="F212" i="1" s="1"/>
  <c r="E204" i="1"/>
  <c r="G204" i="1" s="1"/>
  <c r="E211" i="1"/>
  <c r="G211" i="1" s="1"/>
  <c r="E210" i="1"/>
  <c r="G210" i="1" s="1"/>
  <c r="E209" i="1"/>
  <c r="G209" i="1" s="1"/>
  <c r="G326" i="1"/>
  <c r="F326" i="1"/>
  <c r="E325" i="1"/>
  <c r="G325" i="1" s="1"/>
  <c r="E285" i="1"/>
  <c r="G285" i="1" s="1"/>
  <c r="E322" i="1"/>
  <c r="G322" i="1" s="1"/>
  <c r="E324" i="1"/>
  <c r="H324" i="1" s="1"/>
  <c r="E301" i="1"/>
  <c r="F301" i="1" s="1"/>
  <c r="E300" i="1"/>
  <c r="G300" i="1" s="1"/>
  <c r="E298" i="1"/>
  <c r="F298" i="1" s="1"/>
  <c r="E193" i="1"/>
  <c r="G193" i="1" s="1"/>
  <c r="E284" i="1"/>
  <c r="G284" i="1" s="1"/>
  <c r="E283" i="1"/>
  <c r="G283" i="1" s="1"/>
  <c r="E293" i="1"/>
  <c r="G293" i="1" s="1"/>
  <c r="E200" i="1"/>
  <c r="G200" i="1" s="1"/>
  <c r="E199" i="1"/>
  <c r="G199" i="1" s="1"/>
  <c r="E316" i="1"/>
  <c r="G316" i="1" s="1"/>
  <c r="E315" i="1"/>
  <c r="G315" i="1" s="1"/>
  <c r="E321" i="1"/>
  <c r="G321" i="1" s="1"/>
  <c r="E320" i="1"/>
  <c r="F320" i="1" s="1"/>
  <c r="E319" i="1"/>
  <c r="F319" i="1" s="1"/>
  <c r="G320" i="1"/>
  <c r="F321" i="1"/>
  <c r="E318" i="1"/>
  <c r="G318" i="1" s="1"/>
  <c r="E207" i="1"/>
  <c r="G207" i="1" s="1"/>
  <c r="E314" i="1"/>
  <c r="H314" i="1" s="1"/>
  <c r="E313" i="1"/>
  <c r="E312" i="1"/>
  <c r="H312" i="1" s="1"/>
  <c r="H313" i="1"/>
  <c r="G312" i="1"/>
  <c r="G313" i="1"/>
  <c r="G314" i="1"/>
  <c r="F313" i="1"/>
  <c r="E311" i="1"/>
  <c r="H311" i="1" s="1"/>
  <c r="E317" i="1"/>
  <c r="H317" i="1" s="1"/>
  <c r="E310" i="1"/>
  <c r="E309" i="1"/>
  <c r="E308" i="1"/>
  <c r="E306" i="1"/>
  <c r="E307" i="1"/>
  <c r="E305" i="1"/>
  <c r="E304" i="1"/>
  <c r="E303" i="1"/>
  <c r="E302" i="1"/>
  <c r="E299" i="1"/>
  <c r="E297" i="1"/>
  <c r="E296" i="1"/>
  <c r="E295" i="1"/>
  <c r="E294" i="1"/>
  <c r="E291" i="1"/>
  <c r="E292" i="1"/>
  <c r="E290" i="1"/>
  <c r="E289" i="1"/>
  <c r="E288" i="1"/>
  <c r="E287" i="1"/>
  <c r="E286" i="1"/>
  <c r="E282" i="1"/>
  <c r="H282" i="1" s="1"/>
  <c r="E281" i="1"/>
  <c r="H281" i="1" s="1"/>
  <c r="E280" i="1"/>
  <c r="H280" i="1" s="1"/>
  <c r="E279" i="1"/>
  <c r="H279" i="1" s="1"/>
  <c r="E278" i="1"/>
  <c r="E277" i="1"/>
  <c r="E276" i="1"/>
  <c r="E275" i="1"/>
  <c r="E274" i="1"/>
  <c r="E273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1018" i="1"/>
  <c r="H1018" i="1" s="1"/>
  <c r="E1005" i="1"/>
  <c r="G1005" i="1" s="1"/>
  <c r="E1004" i="1"/>
  <c r="H1004" i="1" s="1"/>
  <c r="E1003" i="1"/>
  <c r="G1003" i="1" s="1"/>
  <c r="E1002" i="1"/>
  <c r="H1002" i="1" s="1"/>
  <c r="H1003" i="1"/>
  <c r="F1012" i="1"/>
  <c r="F1013" i="1"/>
  <c r="F1014" i="1"/>
  <c r="F1015" i="1"/>
  <c r="F1016" i="1"/>
  <c r="F1017" i="1"/>
  <c r="F1019" i="1"/>
  <c r="H1001" i="1"/>
  <c r="E252" i="1"/>
  <c r="E251" i="1"/>
  <c r="E250" i="1"/>
  <c r="E249" i="1"/>
  <c r="E248" i="1"/>
  <c r="E247" i="1"/>
  <c r="E246" i="1"/>
  <c r="E245" i="1"/>
  <c r="H245" i="1" s="1"/>
  <c r="E244" i="1"/>
  <c r="H244" i="1" s="1"/>
  <c r="E243" i="1"/>
  <c r="H243" i="1" s="1"/>
  <c r="E241" i="1"/>
  <c r="H241" i="1" s="1"/>
  <c r="E242" i="1"/>
  <c r="H242" i="1" s="1"/>
  <c r="E240" i="1"/>
  <c r="H240" i="1" s="1"/>
  <c r="E239" i="1"/>
  <c r="H239" i="1" s="1"/>
  <c r="E238" i="1"/>
  <c r="H238" i="1" s="1"/>
  <c r="E237" i="1"/>
  <c r="H237" i="1" s="1"/>
  <c r="E236" i="1"/>
  <c r="H236" i="1" s="1"/>
  <c r="G890" i="1" l="1"/>
  <c r="G217" i="1"/>
  <c r="F890" i="1"/>
  <c r="F217" i="1"/>
  <c r="F889" i="1"/>
  <c r="G889" i="1"/>
  <c r="G1011" i="1"/>
  <c r="F1007" i="1"/>
  <c r="G100" i="1"/>
  <c r="F909" i="1"/>
  <c r="F1011" i="1"/>
  <c r="G1006" i="1"/>
  <c r="F100" i="1"/>
  <c r="H202" i="1"/>
  <c r="F536" i="1"/>
  <c r="F888" i="1"/>
  <c r="G909" i="1"/>
  <c r="G888" i="1"/>
  <c r="F185" i="1"/>
  <c r="H537" i="1"/>
  <c r="H216" i="1"/>
  <c r="H212" i="1"/>
  <c r="H200" i="1"/>
  <c r="H536" i="1"/>
  <c r="F537" i="1"/>
  <c r="H535" i="1"/>
  <c r="H210" i="1"/>
  <c r="H208" i="1"/>
  <c r="H204" i="1"/>
  <c r="H184" i="1"/>
  <c r="G1008" i="1"/>
  <c r="F323" i="1"/>
  <c r="F98" i="1"/>
  <c r="G98" i="1"/>
  <c r="F535" i="1"/>
  <c r="H215" i="1"/>
  <c r="H211" i="1"/>
  <c r="H209" i="1"/>
  <c r="H207" i="1"/>
  <c r="H205" i="1"/>
  <c r="H203" i="1"/>
  <c r="H201" i="1"/>
  <c r="H199" i="1"/>
  <c r="H193" i="1"/>
  <c r="H185" i="1"/>
  <c r="F528" i="1"/>
  <c r="H316" i="1"/>
  <c r="G99" i="1"/>
  <c r="H322" i="1"/>
  <c r="H320" i="1"/>
  <c r="H318" i="1"/>
  <c r="H1006" i="1"/>
  <c r="G802" i="1"/>
  <c r="G524" i="1"/>
  <c r="G323" i="1"/>
  <c r="H325" i="1"/>
  <c r="H321" i="1"/>
  <c r="H319" i="1"/>
  <c r="H315" i="1"/>
  <c r="F99" i="1"/>
  <c r="F1009" i="1"/>
  <c r="G1007" i="1"/>
  <c r="F458" i="1"/>
  <c r="F802" i="1"/>
  <c r="F524" i="1"/>
  <c r="H528" i="1"/>
  <c r="F210" i="1"/>
  <c r="F529" i="1"/>
  <c r="F525" i="1"/>
  <c r="F533" i="1"/>
  <c r="G533" i="1"/>
  <c r="F1008" i="1"/>
  <c r="F806" i="1"/>
  <c r="F800" i="1"/>
  <c r="G800" i="1"/>
  <c r="G529" i="1"/>
  <c r="G525" i="1"/>
  <c r="H527" i="1"/>
  <c r="G532" i="1"/>
  <c r="F530" i="1"/>
  <c r="H806" i="1"/>
  <c r="F796" i="1"/>
  <c r="H799" i="1"/>
  <c r="H530" i="1"/>
  <c r="F200" i="1"/>
  <c r="F797" i="1"/>
  <c r="H796" i="1"/>
  <c r="F799" i="1"/>
  <c r="F1010" i="1"/>
  <c r="G798" i="1"/>
  <c r="H798" i="1"/>
  <c r="H521" i="1"/>
  <c r="F531" i="1"/>
  <c r="G531" i="1"/>
  <c r="F284" i="1"/>
  <c r="G797" i="1"/>
  <c r="F803" i="1"/>
  <c r="F801" i="1"/>
  <c r="G803" i="1"/>
  <c r="G801" i="1"/>
  <c r="F526" i="1"/>
  <c r="G523" i="1"/>
  <c r="H523" i="1"/>
  <c r="F293" i="1"/>
  <c r="F300" i="1"/>
  <c r="F211" i="1"/>
  <c r="F204" i="1"/>
  <c r="G212" i="1"/>
  <c r="F184" i="1"/>
  <c r="G521" i="1"/>
  <c r="F825" i="1"/>
  <c r="G270" i="1"/>
  <c r="G271" i="1"/>
  <c r="F272" i="1"/>
  <c r="G765" i="1"/>
  <c r="F215" i="1"/>
  <c r="G216" i="1"/>
  <c r="F201" i="1"/>
  <c r="F203" i="1"/>
  <c r="G208" i="1"/>
  <c r="F205" i="1"/>
  <c r="F795" i="1"/>
  <c r="H795" i="1"/>
  <c r="F285" i="1"/>
  <c r="G298" i="1"/>
  <c r="G301" i="1"/>
  <c r="F325" i="1"/>
  <c r="G202" i="1"/>
  <c r="F283" i="1"/>
  <c r="F193" i="1"/>
  <c r="F209" i="1"/>
  <c r="G282" i="1"/>
  <c r="F199" i="1"/>
  <c r="F282" i="1"/>
  <c r="F322" i="1"/>
  <c r="F280" i="1"/>
  <c r="G280" i="1"/>
  <c r="F316" i="1"/>
  <c r="G319" i="1"/>
  <c r="F318" i="1"/>
  <c r="F315" i="1"/>
  <c r="G281" i="1"/>
  <c r="F281" i="1"/>
  <c r="F314" i="1"/>
  <c r="F312" i="1"/>
  <c r="F207" i="1"/>
  <c r="F279" i="1"/>
  <c r="G279" i="1"/>
  <c r="F311" i="1"/>
  <c r="G311" i="1"/>
  <c r="F1002" i="1"/>
  <c r="G1004" i="1"/>
  <c r="F1004" i="1"/>
  <c r="G1002" i="1"/>
  <c r="G1018" i="1"/>
  <c r="F1018" i="1"/>
  <c r="H1005" i="1"/>
  <c r="F1003" i="1"/>
  <c r="F1005" i="1"/>
  <c r="G1001" i="1"/>
  <c r="F1001" i="1"/>
  <c r="E235" i="1"/>
  <c r="H235" i="1" s="1"/>
  <c r="E233" i="1"/>
  <c r="H233" i="1" s="1"/>
  <c r="E234" i="1"/>
  <c r="H234" i="1" s="1"/>
  <c r="E232" i="1"/>
  <c r="H232" i="1" s="1"/>
  <c r="E231" i="1"/>
  <c r="H231" i="1" s="1"/>
  <c r="E229" i="1"/>
  <c r="H229" i="1" s="1"/>
  <c r="E227" i="1"/>
  <c r="H227" i="1" s="1"/>
  <c r="E225" i="1"/>
  <c r="H225" i="1" s="1"/>
  <c r="E223" i="1"/>
  <c r="H223" i="1" s="1"/>
  <c r="E230" i="1"/>
  <c r="H230" i="1" s="1"/>
  <c r="E228" i="1"/>
  <c r="H228" i="1" s="1"/>
  <c r="E226" i="1"/>
  <c r="H226" i="1" s="1"/>
  <c r="E224" i="1"/>
  <c r="H224" i="1" s="1"/>
  <c r="E222" i="1"/>
  <c r="H222" i="1" s="1"/>
  <c r="E221" i="1"/>
  <c r="H221" i="1" s="1"/>
  <c r="E220" i="1"/>
  <c r="H220" i="1" s="1"/>
  <c r="E219" i="1"/>
  <c r="H219" i="1" s="1"/>
  <c r="E218" i="1"/>
  <c r="H218" i="1" s="1"/>
  <c r="E214" i="1"/>
  <c r="H214" i="1" s="1"/>
  <c r="E456" i="1"/>
  <c r="E206" i="1"/>
  <c r="H206" i="1" s="1"/>
  <c r="E198" i="1"/>
  <c r="H198" i="1" s="1"/>
  <c r="E197" i="1"/>
  <c r="H197" i="1" s="1"/>
  <c r="E196" i="1"/>
  <c r="H196" i="1" s="1"/>
  <c r="E195" i="1"/>
  <c r="H195" i="1" s="1"/>
  <c r="E194" i="1"/>
  <c r="E192" i="1"/>
  <c r="H192" i="1" s="1"/>
  <c r="E191" i="1"/>
  <c r="H191" i="1" s="1"/>
  <c r="E190" i="1"/>
  <c r="H190" i="1" s="1"/>
  <c r="E189" i="1"/>
  <c r="H189" i="1" s="1"/>
  <c r="E188" i="1"/>
  <c r="H188" i="1" s="1"/>
  <c r="E187" i="1"/>
  <c r="H187" i="1" s="1"/>
  <c r="E186" i="1"/>
  <c r="H186" i="1" s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0" i="1"/>
  <c r="E151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97" i="1"/>
  <c r="E95" i="1"/>
  <c r="E94" i="1"/>
  <c r="E93" i="1"/>
  <c r="E92" i="1"/>
  <c r="E91" i="1"/>
  <c r="E90" i="1"/>
  <c r="E89" i="1"/>
  <c r="E88" i="1"/>
  <c r="E87" i="1"/>
  <c r="G194" i="1" l="1"/>
  <c r="H194" i="1"/>
  <c r="G456" i="1"/>
  <c r="F456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 l="1"/>
  <c r="G19" i="1" s="1"/>
  <c r="E18" i="1"/>
  <c r="G18" i="1" s="1"/>
  <c r="E17" i="1"/>
  <c r="G17" i="1" s="1"/>
  <c r="E16" i="1"/>
  <c r="F16" i="1" s="1"/>
  <c r="E15" i="1"/>
  <c r="H15" i="1" s="1"/>
  <c r="H16" i="1"/>
  <c r="H17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3" i="1"/>
  <c r="H274" i="1"/>
  <c r="H275" i="1"/>
  <c r="H276" i="1"/>
  <c r="H277" i="1"/>
  <c r="H278" i="1"/>
  <c r="H286" i="1"/>
  <c r="H287" i="1"/>
  <c r="H288" i="1"/>
  <c r="H289" i="1"/>
  <c r="H290" i="1"/>
  <c r="H291" i="1"/>
  <c r="H292" i="1"/>
  <c r="H294" i="1"/>
  <c r="H295" i="1"/>
  <c r="H296" i="1"/>
  <c r="H297" i="1"/>
  <c r="H299" i="1"/>
  <c r="H302" i="1"/>
  <c r="H303" i="1"/>
  <c r="H304" i="1"/>
  <c r="H305" i="1"/>
  <c r="H306" i="1"/>
  <c r="H307" i="1"/>
  <c r="H308" i="1"/>
  <c r="H309" i="1"/>
  <c r="H310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7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2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6" i="1"/>
  <c r="H767" i="1"/>
  <c r="H768" i="1"/>
  <c r="H769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804" i="1"/>
  <c r="H805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91" i="1"/>
  <c r="H892" i="1"/>
  <c r="H893" i="1"/>
  <c r="H894" i="1"/>
  <c r="H895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10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4" i="1"/>
  <c r="H995" i="1"/>
  <c r="H996" i="1"/>
  <c r="H997" i="1"/>
  <c r="H998" i="1"/>
  <c r="H999" i="1"/>
  <c r="H1009" i="1"/>
  <c r="H1010" i="1"/>
  <c r="H1012" i="1"/>
  <c r="H1013" i="1"/>
  <c r="H1014" i="1"/>
  <c r="H1015" i="1"/>
  <c r="H1016" i="1"/>
  <c r="H1017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7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6" i="1"/>
  <c r="G187" i="1"/>
  <c r="G188" i="1"/>
  <c r="G189" i="1"/>
  <c r="G190" i="1"/>
  <c r="G191" i="1"/>
  <c r="G192" i="1"/>
  <c r="G195" i="1"/>
  <c r="G196" i="1"/>
  <c r="G197" i="1"/>
  <c r="G198" i="1"/>
  <c r="G206" i="1"/>
  <c r="G214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3" i="1"/>
  <c r="G274" i="1"/>
  <c r="G275" i="1"/>
  <c r="G276" i="1"/>
  <c r="G277" i="1"/>
  <c r="G278" i="1"/>
  <c r="G286" i="1"/>
  <c r="G287" i="1"/>
  <c r="G288" i="1"/>
  <c r="G289" i="1"/>
  <c r="G290" i="1"/>
  <c r="G291" i="1"/>
  <c r="G292" i="1"/>
  <c r="G294" i="1"/>
  <c r="G295" i="1"/>
  <c r="G296" i="1"/>
  <c r="G297" i="1"/>
  <c r="G299" i="1"/>
  <c r="G302" i="1"/>
  <c r="G303" i="1"/>
  <c r="G304" i="1"/>
  <c r="G305" i="1"/>
  <c r="G306" i="1"/>
  <c r="G307" i="1"/>
  <c r="G308" i="1"/>
  <c r="G309" i="1"/>
  <c r="G310" i="1"/>
  <c r="G317" i="1"/>
  <c r="G324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7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2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6" i="1"/>
  <c r="G767" i="1"/>
  <c r="G768" i="1"/>
  <c r="G769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805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91" i="1"/>
  <c r="G892" i="1"/>
  <c r="G893" i="1"/>
  <c r="G894" i="1"/>
  <c r="G895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10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4" i="1"/>
  <c r="G995" i="1"/>
  <c r="G996" i="1"/>
  <c r="G997" i="1"/>
  <c r="G998" i="1"/>
  <c r="G999" i="1"/>
  <c r="G1012" i="1"/>
  <c r="G1013" i="1"/>
  <c r="G1014" i="1"/>
  <c r="G1015" i="1"/>
  <c r="G1016" i="1"/>
  <c r="G1017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7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206" i="1"/>
  <c r="F214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3" i="1"/>
  <c r="F274" i="1"/>
  <c r="F275" i="1"/>
  <c r="F276" i="1"/>
  <c r="F277" i="1"/>
  <c r="F278" i="1"/>
  <c r="F286" i="1"/>
  <c r="F287" i="1"/>
  <c r="F288" i="1"/>
  <c r="F289" i="1"/>
  <c r="F290" i="1"/>
  <c r="F291" i="1"/>
  <c r="F292" i="1"/>
  <c r="F294" i="1"/>
  <c r="F295" i="1"/>
  <c r="F296" i="1"/>
  <c r="F297" i="1"/>
  <c r="F299" i="1"/>
  <c r="F302" i="1"/>
  <c r="F303" i="1"/>
  <c r="F304" i="1"/>
  <c r="F305" i="1"/>
  <c r="F306" i="1"/>
  <c r="F307" i="1"/>
  <c r="F308" i="1"/>
  <c r="F309" i="1"/>
  <c r="F310" i="1"/>
  <c r="F317" i="1"/>
  <c r="F324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7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2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6" i="1"/>
  <c r="F767" i="1"/>
  <c r="F768" i="1"/>
  <c r="F769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804" i="1"/>
  <c r="F805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91" i="1"/>
  <c r="F892" i="1"/>
  <c r="F893" i="1"/>
  <c r="F894" i="1"/>
  <c r="F895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10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4" i="1"/>
  <c r="F995" i="1"/>
  <c r="F996" i="1"/>
  <c r="F997" i="1"/>
  <c r="F998" i="1"/>
  <c r="F99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H19" i="1" l="1"/>
  <c r="H18" i="1"/>
  <c r="F17" i="1"/>
  <c r="F19" i="1"/>
  <c r="G16" i="1"/>
  <c r="F18" i="1"/>
  <c r="F15" i="1"/>
  <c r="G15" i="1"/>
  <c r="A16" i="1" l="1"/>
</calcChain>
</file>

<file path=xl/sharedStrings.xml><?xml version="1.0" encoding="utf-8"?>
<sst xmlns="http://schemas.openxmlformats.org/spreadsheetml/2006/main" count="2721" uniqueCount="2674">
  <si>
    <t>Тел 495-589-52-83, Моб 8-926-181-88-21</t>
  </si>
  <si>
    <t>Факс 499-272-30-61</t>
  </si>
  <si>
    <t>ICQ 402678523</t>
  </si>
  <si>
    <t>Наименование товара</t>
  </si>
  <si>
    <t>№№</t>
  </si>
  <si>
    <t>Амортизатор сиденья Сетра</t>
  </si>
  <si>
    <t>Гофра глушителя 80Х500</t>
  </si>
  <si>
    <t>Гофра глушителя 90Х1000</t>
  </si>
  <si>
    <t>Сальник хвостовика 85Х110Х13 Икарус</t>
  </si>
  <si>
    <t>Гильза компрессора воздуш охлажд 4421300008- 1400.31  90мм</t>
  </si>
  <si>
    <t>Гильза компрессора водяного охлажд 50.01000.0173  90мм</t>
  </si>
  <si>
    <t>Ждем Ваших заявок!</t>
  </si>
  <si>
    <t>Головка компрессора с плитой и прокладками 90мм  000 130 26 19</t>
  </si>
  <si>
    <t>Email avtotrader24@rambler.ru, avtotrader24@yandex.ru, vikoil07@rambler.ru</t>
  </si>
  <si>
    <t>Сальник 72*105*13 закрыт металл  MAN</t>
  </si>
  <si>
    <t>Сальник 145Х175Х13 S2 закрыт металл</t>
  </si>
  <si>
    <t>№№ кат</t>
  </si>
  <si>
    <t>Гофра глушителя 60Х1000</t>
  </si>
  <si>
    <t>Наконечник газового тросса 6мм короткий</t>
  </si>
  <si>
    <t>Наконечник газового тросса 6мм длинный</t>
  </si>
  <si>
    <t>Наконечник газового тросса 8мм короткий</t>
  </si>
  <si>
    <t>Наконечник газового тросса 8мм длинный</t>
  </si>
  <si>
    <t>Наконечник газового тросса 10мм</t>
  </si>
  <si>
    <t>Наконечник газового тросса 12мм</t>
  </si>
  <si>
    <t>http://www.avtotrader24.ru        Интернет-магазин</t>
  </si>
  <si>
    <t>Крестовина 50*135</t>
  </si>
  <si>
    <t>Сальник 25*40*7 Ивеко</t>
  </si>
  <si>
    <t>Сальник 28*40*7/8 МБ/МАН</t>
  </si>
  <si>
    <t>Сальник 48*65*10 Даф/ МАН</t>
  </si>
  <si>
    <t>Сальник 48*69*10 МАН</t>
  </si>
  <si>
    <t xml:space="preserve">Сальник 100*130*13  Ман/МБ </t>
  </si>
  <si>
    <t>Сальник 115*140*13 Ман/МБ/Ивеко</t>
  </si>
  <si>
    <t>Сальник 125*150*15 МБ/Ман</t>
  </si>
  <si>
    <t>Сальник 145Х175Х14</t>
  </si>
  <si>
    <t>Сальник 140*170Х15 Икарус задней ступицы</t>
  </si>
  <si>
    <t>Сальник 120*150*15 Ман/МБ/Рено</t>
  </si>
  <si>
    <t>Сальник 155*180*15</t>
  </si>
  <si>
    <t>Амортизатор багажника МБ 303 длин</t>
  </si>
  <si>
    <t>Амортизатор багажника 304</t>
  </si>
  <si>
    <t>Гофра глушителя 120*1000</t>
  </si>
  <si>
    <t>Гофра глушителя 127*1000</t>
  </si>
  <si>
    <t>Ферадо диска сцепления 380 мм</t>
  </si>
  <si>
    <t>Ферадо диска сцепления 420 мм</t>
  </si>
  <si>
    <t>Шланг тормозной Сетра 70 см М 16*1,5</t>
  </si>
  <si>
    <t xml:space="preserve">Прокладка коллектора впускного Икарус </t>
  </si>
  <si>
    <t xml:space="preserve">Прокладка коллектора выпускного Икарус </t>
  </si>
  <si>
    <t>Амортизатор сиденья МБ303 V6/V8</t>
  </si>
  <si>
    <t>Прокладка двигателя верхний набор МБ 125 мм</t>
  </si>
  <si>
    <t>Гофра глушителя 110*1000</t>
  </si>
  <si>
    <t>Клапан редукционный МБ короткий</t>
  </si>
  <si>
    <t>Клапан редукционный масла МБ длинный 4221800315 7,5 Бар 0901-030</t>
  </si>
  <si>
    <t>Шланг тормозной МБ задний 60 см   М16*1,5</t>
  </si>
  <si>
    <t>Реле поворотников 11 контактов тип Hella Сетра/Неоплан  Германия</t>
  </si>
  <si>
    <t>Реле поворотников 6 контактов тип Hella Сетра/Неоплан  Германия</t>
  </si>
  <si>
    <t>Сальник 130*160*15</t>
  </si>
  <si>
    <t>Датчик спидометра Ман 3-контакт</t>
  </si>
  <si>
    <t>Итого</t>
  </si>
  <si>
    <t>Кольцо посадочное гильзы 125 0,15</t>
  </si>
  <si>
    <t>Кольцо посадочное гильзы 128 0,15</t>
  </si>
  <si>
    <t>Амортизатор сиденья МБ 403</t>
  </si>
  <si>
    <t>Шланг тормозной Сетра 120 см   М12*1,5 гидравлика</t>
  </si>
  <si>
    <t>Шланг тормозной Сетра 42 см -60 см</t>
  </si>
  <si>
    <t>Клапан редукционный масла Икарус  054057021</t>
  </si>
  <si>
    <t>v110653</t>
  </si>
  <si>
    <t>v411884</t>
  </si>
  <si>
    <t>v130790</t>
  </si>
  <si>
    <t>v156014</t>
  </si>
  <si>
    <t>Втулка амортизатора МБ задн малый</t>
  </si>
  <si>
    <t>v166011</t>
  </si>
  <si>
    <t>Втулка амортизатора МБ передн</t>
  </si>
  <si>
    <t>Зеркало с подогревом МБ 2633/1422</t>
  </si>
  <si>
    <t>v174016</t>
  </si>
  <si>
    <t>v970204</t>
  </si>
  <si>
    <t>Стекло фонаря заднего хода МБ 304 белый</t>
  </si>
  <si>
    <t>v170227</t>
  </si>
  <si>
    <t>v150852</t>
  </si>
  <si>
    <t>v150853</t>
  </si>
  <si>
    <t>v154600</t>
  </si>
  <si>
    <t>v154611</t>
  </si>
  <si>
    <t>v145004</t>
  </si>
  <si>
    <t>v186226</t>
  </si>
  <si>
    <t>v170527</t>
  </si>
  <si>
    <t>v170513</t>
  </si>
  <si>
    <t>v170514</t>
  </si>
  <si>
    <t>v101526</t>
  </si>
  <si>
    <t>v101529</t>
  </si>
  <si>
    <t>v102803</t>
  </si>
  <si>
    <t>Прокладка выпускного коллектора МБ ОМ 401/402</t>
  </si>
  <si>
    <t>v129011</t>
  </si>
  <si>
    <t>v257103</t>
  </si>
  <si>
    <t>v257107</t>
  </si>
  <si>
    <t>v257108</t>
  </si>
  <si>
    <t>v257109</t>
  </si>
  <si>
    <t>v157601</t>
  </si>
  <si>
    <t>v357301</t>
  </si>
  <si>
    <t>v357302</t>
  </si>
  <si>
    <t>v129007</t>
  </si>
  <si>
    <t>v021070</t>
  </si>
  <si>
    <t>Гофра глушителя 70*1000</t>
  </si>
  <si>
    <t>v370424</t>
  </si>
  <si>
    <t>v995166</t>
  </si>
  <si>
    <t>Фитинг прямой пластик 6*6</t>
  </si>
  <si>
    <t>v995188</t>
  </si>
  <si>
    <t>Фитинг прямой пластик 8*8</t>
  </si>
  <si>
    <t>Фитинг прямой пластик 10*10</t>
  </si>
  <si>
    <t>Фитинг прямой пластик 12*12</t>
  </si>
  <si>
    <t>v995116</t>
  </si>
  <si>
    <t>Тяга крана уровня пола 25см с наконеч</t>
  </si>
  <si>
    <t>v125517</t>
  </si>
  <si>
    <t>v110804</t>
  </si>
  <si>
    <t>Датчик давления масла 7 Bar</t>
  </si>
  <si>
    <t>v121509</t>
  </si>
  <si>
    <t>v125379</t>
  </si>
  <si>
    <t>KG115030</t>
  </si>
  <si>
    <t>v183304</t>
  </si>
  <si>
    <t>v130801</t>
  </si>
  <si>
    <t>KG138030</t>
  </si>
  <si>
    <t>v205029</t>
  </si>
  <si>
    <t>Амортизатор багажника Сетра 76см</t>
  </si>
  <si>
    <t>v374376</t>
  </si>
  <si>
    <t>Ремкомплект прокладки компрессора МБ 90</t>
  </si>
  <si>
    <t>v129002</t>
  </si>
  <si>
    <t>v129034</t>
  </si>
  <si>
    <t>v129038</t>
  </si>
  <si>
    <t>v129043</t>
  </si>
  <si>
    <t>v370203</t>
  </si>
  <si>
    <t>Фонарь заднего хода Сетра белый</t>
  </si>
  <si>
    <t>v370202</t>
  </si>
  <si>
    <t>Фонарь поворота Сетра желт задн</t>
  </si>
  <si>
    <t>v370201</t>
  </si>
  <si>
    <t>Фонарь стоп Сетра красный</t>
  </si>
  <si>
    <t>v129003</t>
  </si>
  <si>
    <t>v411637</t>
  </si>
  <si>
    <t>v194027</t>
  </si>
  <si>
    <t>Вкладыш компрессора стд</t>
  </si>
  <si>
    <t>Патрубок радиатора МБ 2628 (50*45*320)  3465015082</t>
  </si>
  <si>
    <t>Патрубок радиатора МБ 1928/2428 (65*60*350)  3875012982</t>
  </si>
  <si>
    <t>Патрубок радиатора нижн МБ 2622 (60*65*850)  6165010982</t>
  </si>
  <si>
    <t>Патрубок радиатора верхний МБ 1726/1729/2429     6555011482</t>
  </si>
  <si>
    <t>Патрубок радиатора МБ 304 левый 3015010182</t>
  </si>
  <si>
    <t>Датчик давления масла 5 BAR Man 81274210109  3-контакт</t>
  </si>
  <si>
    <t>Датчик давления масла 5 BAR MБ  2контакт</t>
  </si>
  <si>
    <t>Датчик масляный 10 Бар МБ</t>
  </si>
  <si>
    <t>v257106</t>
  </si>
  <si>
    <t>v157203</t>
  </si>
  <si>
    <t>Сальник 150*180*15 Ман</t>
  </si>
  <si>
    <t>v174304</t>
  </si>
  <si>
    <t>v131001</t>
  </si>
  <si>
    <t>v130403</t>
  </si>
  <si>
    <t>v357110</t>
  </si>
  <si>
    <t>v357111</t>
  </si>
  <si>
    <t>v170553</t>
  </si>
  <si>
    <t>v130190</t>
  </si>
  <si>
    <t>v144501</t>
  </si>
  <si>
    <t>v145901</t>
  </si>
  <si>
    <t>v166104</t>
  </si>
  <si>
    <t>v174305</t>
  </si>
  <si>
    <t>v174301</t>
  </si>
  <si>
    <t>v174501</t>
  </si>
  <si>
    <t>v174503</t>
  </si>
  <si>
    <t>v374501</t>
  </si>
  <si>
    <t>v131091</t>
  </si>
  <si>
    <t>v131090</t>
  </si>
  <si>
    <t>v021060</t>
  </si>
  <si>
    <t>v021101</t>
  </si>
  <si>
    <t>v021400</t>
  </si>
  <si>
    <t>v110275</t>
  </si>
  <si>
    <t>v110276</t>
  </si>
  <si>
    <t>v810201</t>
  </si>
  <si>
    <t>v054621</t>
  </si>
  <si>
    <t>v254601</t>
  </si>
  <si>
    <t>v154124</t>
  </si>
  <si>
    <t>v154130</t>
  </si>
  <si>
    <t>v121506</t>
  </si>
  <si>
    <t>v121510</t>
  </si>
  <si>
    <t>v121512</t>
  </si>
  <si>
    <t>v269500</t>
  </si>
  <si>
    <t>SS910228</t>
  </si>
  <si>
    <t>SS910088</t>
  </si>
  <si>
    <t>SS910008</t>
  </si>
  <si>
    <t>SS910028</t>
  </si>
  <si>
    <t>v243006</t>
  </si>
  <si>
    <t>v143006</t>
  </si>
  <si>
    <t>v802801</t>
  </si>
  <si>
    <t>v802803</t>
  </si>
  <si>
    <t>v110525</t>
  </si>
  <si>
    <t>v160110</t>
  </si>
  <si>
    <t>v179731</t>
  </si>
  <si>
    <t>v179733</t>
  </si>
  <si>
    <t>v411886</t>
  </si>
  <si>
    <t>v245507</t>
  </si>
  <si>
    <t>v292045</t>
  </si>
  <si>
    <t>v110901</t>
  </si>
  <si>
    <t>v610027</t>
  </si>
  <si>
    <t>v220864</t>
  </si>
  <si>
    <t>v145001</t>
  </si>
  <si>
    <t>v190403</t>
  </si>
  <si>
    <t>v151592</t>
  </si>
  <si>
    <t>v151562</t>
  </si>
  <si>
    <t>v351570</t>
  </si>
  <si>
    <t>v178070</t>
  </si>
  <si>
    <t>v095014</t>
  </si>
  <si>
    <t>v095090</t>
  </si>
  <si>
    <t>v095026</t>
  </si>
  <si>
    <t>v041504</t>
  </si>
  <si>
    <t>Ремкомплект бортовой передачи 145*175*13/14</t>
  </si>
  <si>
    <t>v110656</t>
  </si>
  <si>
    <t>Крышка масляная</t>
  </si>
  <si>
    <t>v120315</t>
  </si>
  <si>
    <t>v100502</t>
  </si>
  <si>
    <t>Фонарь отражателя белый</t>
  </si>
  <si>
    <t>v685027</t>
  </si>
  <si>
    <t>v262210</t>
  </si>
  <si>
    <t>v120680</t>
  </si>
  <si>
    <t>v357112</t>
  </si>
  <si>
    <t>v254602</t>
  </si>
  <si>
    <t>v157304</t>
  </si>
  <si>
    <t>v170945</t>
  </si>
  <si>
    <t>Фонарь противотуманный Сетра белый</t>
  </si>
  <si>
    <t>v254603</t>
  </si>
  <si>
    <t>Крестовина 44*126 Ман/МБ/Скания/Вольво</t>
  </si>
  <si>
    <t>v754602</t>
  </si>
  <si>
    <t>Амортизатор багажника Сетра 71см</t>
  </si>
  <si>
    <t>Амортизатор багажника МБ 302/303 корот</t>
  </si>
  <si>
    <t>v210801</t>
  </si>
  <si>
    <t>v170225</t>
  </si>
  <si>
    <t>v170223</t>
  </si>
  <si>
    <t>v192007</t>
  </si>
  <si>
    <t>Резинка щетки стеклоочистителя 80см</t>
  </si>
  <si>
    <t>Резинка щетки стеклоочистителя 70см</t>
  </si>
  <si>
    <t>v178075</t>
  </si>
  <si>
    <t>V130106</t>
  </si>
  <si>
    <t>v357107</t>
  </si>
  <si>
    <t>v154112</t>
  </si>
  <si>
    <t>v143001</t>
  </si>
  <si>
    <t>v357113</t>
  </si>
  <si>
    <t>v101533</t>
  </si>
  <si>
    <t>v178105</t>
  </si>
  <si>
    <t>Резинка щетки стеклоочистителя 100 см</t>
  </si>
  <si>
    <t>Сальник 70*81*5/6 МБ</t>
  </si>
  <si>
    <t>Кольцо посадочное гильзы 128 0,20</t>
  </si>
  <si>
    <t>Кольцо посадочное гильзы 128 0,25</t>
  </si>
  <si>
    <t>v154120</t>
  </si>
  <si>
    <t>v157208</t>
  </si>
  <si>
    <t>v151589</t>
  </si>
  <si>
    <t>v101536</t>
  </si>
  <si>
    <t>v101426</t>
  </si>
  <si>
    <t>v246003</t>
  </si>
  <si>
    <t>v377008</t>
  </si>
  <si>
    <t>v154131</t>
  </si>
  <si>
    <t>v154137</t>
  </si>
  <si>
    <t>v170224</t>
  </si>
  <si>
    <t>v205008</t>
  </si>
  <si>
    <t>v170931</t>
  </si>
  <si>
    <t>v157305</t>
  </si>
  <si>
    <t>v157306</t>
  </si>
  <si>
    <t>v120022</t>
  </si>
  <si>
    <t>v183308</t>
  </si>
  <si>
    <t>v083430</t>
  </si>
  <si>
    <t>v154113</t>
  </si>
  <si>
    <t>v154115</t>
  </si>
  <si>
    <t>Мембрана стандарт тип 12 (140*35)</t>
  </si>
  <si>
    <t>v154117</t>
  </si>
  <si>
    <t>v154116</t>
  </si>
  <si>
    <t>v154125</t>
  </si>
  <si>
    <t>Мембрана стандарт тип 36 (227*47)</t>
  </si>
  <si>
    <t>v180275</t>
  </si>
  <si>
    <t>v070215</t>
  </si>
  <si>
    <t>Шланг ГУР МБ 403.            60см М20х1.5</t>
  </si>
  <si>
    <t>Кольцо корзины сцепления 420мм МБ 0002521745</t>
  </si>
  <si>
    <t>v210802</t>
  </si>
  <si>
    <t>Датчик давления масла 10Бар 18*1,5 новая модель 3 выхода 81274810097</t>
  </si>
  <si>
    <t>v995210</t>
  </si>
  <si>
    <t>Фитинг прямой треугольник 10*10</t>
  </si>
  <si>
    <t>Ремень зубчатый AVX 13/12,5*775  AIS Driving Germany</t>
  </si>
  <si>
    <t>Ремень зубчатый AVX 13/12,5*950  AIS Driving Germany</t>
  </si>
  <si>
    <t>Ремень зубчатый AVX 13/12,5*1125  AIS Driving Germany</t>
  </si>
  <si>
    <t>Ремень зубчатый AVX 13/12,5*1150  AIS Driving Germany</t>
  </si>
  <si>
    <t>Ремень зубчатый AVX 13/12,5*1225  AIS Driving Germany</t>
  </si>
  <si>
    <t>Ремень зубчатый AVX 13/12,5*1250  AIS Driving Germany</t>
  </si>
  <si>
    <t>Ремень зубчатый AVX 13/12,5*1275  AIS Driving Germany</t>
  </si>
  <si>
    <t>Ремень зубчатый AVX 13/12,5*1350 AIS Driving Germany</t>
  </si>
  <si>
    <t>Ремень зубчатый AVX 13/12,5*1450 Darwin Plus Germany</t>
  </si>
  <si>
    <t>Ремень зубчатый AVX 13/12,5*1475 AIS Driving Germany</t>
  </si>
  <si>
    <t>Ремень зубчатый AVX 13/12,5*1550 AIS Driving Germany</t>
  </si>
  <si>
    <t>v156012</t>
  </si>
  <si>
    <t>Втулка амортизатора МБ 403/Сетра</t>
  </si>
  <si>
    <t>v221294</t>
  </si>
  <si>
    <t>v120708</t>
  </si>
  <si>
    <t>Шайба форсунки 8мм</t>
  </si>
  <si>
    <t>Шайба форсунки 6мм</t>
  </si>
  <si>
    <t>v120706</t>
  </si>
  <si>
    <t>v150866</t>
  </si>
  <si>
    <t>v150865</t>
  </si>
  <si>
    <t>v162942</t>
  </si>
  <si>
    <t>v170919</t>
  </si>
  <si>
    <t>Фонарь габаритный YP09</t>
  </si>
  <si>
    <t>Фитинг трегул метал 10*8</t>
  </si>
  <si>
    <t>v194034</t>
  </si>
  <si>
    <t>v194035</t>
  </si>
  <si>
    <t>v194006</t>
  </si>
  <si>
    <t>v194047</t>
  </si>
  <si>
    <t>v194022</t>
  </si>
  <si>
    <t>v194030</t>
  </si>
  <si>
    <t>v194116</t>
  </si>
  <si>
    <t>v194274</t>
  </si>
  <si>
    <t>v178310</t>
  </si>
  <si>
    <t>v178304</t>
  </si>
  <si>
    <t>v178404</t>
  </si>
  <si>
    <t>v178403</t>
  </si>
  <si>
    <t>v379001</t>
  </si>
  <si>
    <t>Крестовина 18*47</t>
  </si>
  <si>
    <t>Крестовина 20*35</t>
  </si>
  <si>
    <t>Фонарь габаритный YP07</t>
  </si>
  <si>
    <t>Крестовина КПП 19*48</t>
  </si>
  <si>
    <t>Втулка глушителя МАН</t>
  </si>
  <si>
    <t>v279523</t>
  </si>
  <si>
    <t>v996197</t>
  </si>
  <si>
    <t>SS910048</t>
  </si>
  <si>
    <t>Амортизатор сиденья Ман</t>
  </si>
  <si>
    <t>v274501</t>
  </si>
  <si>
    <t>v286373</t>
  </si>
  <si>
    <t>Колпак колесный МБ пластик</t>
  </si>
  <si>
    <t>Шланг тормозной МБ задний 50 см   М22*1,5</t>
  </si>
  <si>
    <t>Шланг тормозной МБ задний 50 см   М18*1,5 каучук</t>
  </si>
  <si>
    <t>v151550</t>
  </si>
  <si>
    <t>v151551</t>
  </si>
  <si>
    <t>Шланг тормозной МБ 345 80см</t>
  </si>
  <si>
    <t>v685005</t>
  </si>
  <si>
    <t>v151563</t>
  </si>
  <si>
    <t>Шланг тормозной МБ 405</t>
  </si>
  <si>
    <t>v208380</t>
  </si>
  <si>
    <t>Прокладка ГБЦ МБ 125мм 401/402/403/404/407/409 евро</t>
  </si>
  <si>
    <t>v021200</t>
  </si>
  <si>
    <t>v141017 , v357105</t>
  </si>
  <si>
    <t>v054657</t>
  </si>
  <si>
    <t>Крестовина КПП  2 флянца 50</t>
  </si>
  <si>
    <t>v166106</t>
  </si>
  <si>
    <t>v143002</t>
  </si>
  <si>
    <t>v121150</t>
  </si>
  <si>
    <t>v121270</t>
  </si>
  <si>
    <t>Гофра глушителя 70*28 с хомутами МБ V8</t>
  </si>
  <si>
    <t>SS910068</t>
  </si>
  <si>
    <t>SS10148</t>
  </si>
  <si>
    <t>SS10208</t>
  </si>
  <si>
    <t>SS10448</t>
  </si>
  <si>
    <t>SS10668</t>
  </si>
  <si>
    <t>KG 119301</t>
  </si>
  <si>
    <t>v120008</t>
  </si>
  <si>
    <t>v204366</t>
  </si>
  <si>
    <t>v104301</t>
  </si>
  <si>
    <t>Колпак колесный пластик Неоплан</t>
  </si>
  <si>
    <t>Колпак колесный пластик Сетра</t>
  </si>
  <si>
    <t>Колпак колесный Неоплан никелеров (2перед+2задн)</t>
  </si>
  <si>
    <t>v377001</t>
  </si>
  <si>
    <t>Колпак колесный никелеров Сетра (2пердн+2 задн)</t>
  </si>
  <si>
    <t>Колпак колесный никелеров МБ (2пердн+2 задн)</t>
  </si>
  <si>
    <t>v177002</t>
  </si>
  <si>
    <t>SS910628</t>
  </si>
  <si>
    <t>SS910108</t>
  </si>
  <si>
    <t>SS910328</t>
  </si>
  <si>
    <t>v192208, v192083, v192185</t>
  </si>
  <si>
    <t>v170918</t>
  </si>
  <si>
    <t>v192197, v292042</t>
  </si>
  <si>
    <t>v370809</t>
  </si>
  <si>
    <t>Фонарь противотуманный Сетра желтый</t>
  </si>
  <si>
    <t>SS910568</t>
  </si>
  <si>
    <t>v357119</t>
  </si>
  <si>
    <t>Прокладка поддона МБ ОМ 407</t>
  </si>
  <si>
    <t>Заклепка 10*20</t>
  </si>
  <si>
    <t>Заклепка 10*22</t>
  </si>
  <si>
    <t>Заклепка 10*18</t>
  </si>
  <si>
    <t>v095037</t>
  </si>
  <si>
    <t>v996704</t>
  </si>
  <si>
    <t>v021100</t>
  </si>
  <si>
    <t>v021300, KG130015</t>
  </si>
  <si>
    <t>v355517</t>
  </si>
  <si>
    <t>Прокладка  крышки  маховика МАН D2566/2866</t>
  </si>
  <si>
    <t>Прокладка крышки маховика  МБ V8 перед/задн</t>
  </si>
  <si>
    <t>v121151</t>
  </si>
  <si>
    <t>KG148093, v125007</t>
  </si>
  <si>
    <t>Крестовина 57*144 ДАФ/МВ/РЕНО/ИВЕКО</t>
  </si>
  <si>
    <t>v411638</t>
  </si>
  <si>
    <t>SS934788</t>
  </si>
  <si>
    <t>Прокладка водяного насоса МБ/ Ман н\м 4032011080 4422010080</t>
  </si>
  <si>
    <t>Прокладка водяного насоса МБ ОМ 421/422/ Ман н\м 4032010080 403201080</t>
  </si>
  <si>
    <t>v131002</t>
  </si>
  <si>
    <t>KG 138012</t>
  </si>
  <si>
    <t>Диодный мост МБ 303</t>
  </si>
  <si>
    <t>v175303</t>
  </si>
  <si>
    <t>v970205</t>
  </si>
  <si>
    <t>v170209</t>
  </si>
  <si>
    <t>v970203</t>
  </si>
  <si>
    <t>v640027</t>
  </si>
  <si>
    <t>Амортизатор BPW</t>
  </si>
  <si>
    <t>v966517</t>
  </si>
  <si>
    <t>Амортизатор МАН L2000 перед</t>
  </si>
  <si>
    <t>v266604</t>
  </si>
  <si>
    <t>Амортизатор МАН SR240 задний</t>
  </si>
  <si>
    <t>v266008</t>
  </si>
  <si>
    <t>Амортизатор Ман SR240 передний</t>
  </si>
  <si>
    <t>v266007</t>
  </si>
  <si>
    <t>Амортизатор МАН TGA</t>
  </si>
  <si>
    <t>v266064</t>
  </si>
  <si>
    <t>v266603</t>
  </si>
  <si>
    <t>Амортизатор МБ Актрос</t>
  </si>
  <si>
    <t>v166013</t>
  </si>
  <si>
    <t>Амортизатор МБ Атего/ДАФ</t>
  </si>
  <si>
    <t>v166003</t>
  </si>
  <si>
    <t>Амортизатор Вольво FH12 задний</t>
  </si>
  <si>
    <t>v665160</t>
  </si>
  <si>
    <t>Амортизатор Вольво FH12 передний</t>
  </si>
  <si>
    <t>v690171</t>
  </si>
  <si>
    <t>Амортизатор кабины МБ Аксор</t>
  </si>
  <si>
    <t>v168803</t>
  </si>
  <si>
    <t>Амортизатор кабины Вольво  FH12/FH16 задний</t>
  </si>
  <si>
    <t>v690176</t>
  </si>
  <si>
    <t>Амортизатор кабины Вольво  FH10/FM12/FM7 задний</t>
  </si>
  <si>
    <t>v690177</t>
  </si>
  <si>
    <t>v058010</t>
  </si>
  <si>
    <t>KG119291</t>
  </si>
  <si>
    <t>v158045</t>
  </si>
  <si>
    <t>v158046</t>
  </si>
  <si>
    <t>v158012</t>
  </si>
  <si>
    <t>v158020</t>
  </si>
  <si>
    <t>KG119298</t>
  </si>
  <si>
    <t>v108868</t>
  </si>
  <si>
    <t>v183331</t>
  </si>
  <si>
    <t>v180130</t>
  </si>
  <si>
    <t>v108871</t>
  </si>
  <si>
    <t>Амортизатор кабины МБ 302/303 автобус</t>
  </si>
  <si>
    <t>v970211</t>
  </si>
  <si>
    <t>Ремень зубчатый AVX 13/12,5*1700  AIS Driving Germany</t>
  </si>
  <si>
    <t>Ремень зубчатый AVX 13/12,5*1750  AIS Driving Germany</t>
  </si>
  <si>
    <t>Ремень зубчатый AVX 13/12,5*1800  AIS Driving Germany</t>
  </si>
  <si>
    <t>Ремень зубчатый AVX 13/12,5*2050  AIS Driving Germany</t>
  </si>
  <si>
    <t>v374371</t>
  </si>
  <si>
    <t>v158078</t>
  </si>
  <si>
    <t>v125371, BHR231571</t>
  </si>
  <si>
    <t xml:space="preserve">Датчик температур МАН/МБ 0025427317 100С </t>
  </si>
  <si>
    <t>v374503</t>
  </si>
  <si>
    <t>v174001</t>
  </si>
  <si>
    <t>v250600</t>
  </si>
  <si>
    <t>v970083</t>
  </si>
  <si>
    <t>v970085</t>
  </si>
  <si>
    <t>v350858</t>
  </si>
  <si>
    <t>v142422, 5101.101</t>
  </si>
  <si>
    <t>v238046, v205125</t>
  </si>
  <si>
    <t>v142502, v145502</t>
  </si>
  <si>
    <t>v350859</t>
  </si>
  <si>
    <t>Колпак колесный Ман пластик</t>
  </si>
  <si>
    <t>v658004</t>
  </si>
  <si>
    <t>v696150</t>
  </si>
  <si>
    <t xml:space="preserve"> v120808</t>
  </si>
  <si>
    <t>v131501</t>
  </si>
  <si>
    <t>v131502</t>
  </si>
  <si>
    <t xml:space="preserve">  v170226</t>
  </si>
  <si>
    <t>v995106</t>
  </si>
  <si>
    <t>v230900</t>
  </si>
  <si>
    <t>Датчик спидометра МАН 4-контакт</t>
  </si>
  <si>
    <t>v250502</t>
  </si>
  <si>
    <t>v232093</t>
  </si>
  <si>
    <t>v194017</t>
  </si>
  <si>
    <t>KG150862</t>
  </si>
  <si>
    <t>KG101064,  v150612</t>
  </si>
  <si>
    <t>v150608</t>
  </si>
  <si>
    <t>v150633, KG101126</t>
  </si>
  <si>
    <t xml:space="preserve">Накладка тормозная Вольво задн 220EN WVA19562/63  </t>
  </si>
  <si>
    <t xml:space="preserve">  v600363   v192509, v292013</t>
  </si>
  <si>
    <t>v141017 , v357106</t>
  </si>
  <si>
    <t>v130590</t>
  </si>
  <si>
    <t>v186061</t>
  </si>
  <si>
    <t>v685002</t>
  </si>
  <si>
    <t>Ручка багажника МБ 303 пластик</t>
  </si>
  <si>
    <t>KG110500, v110500</t>
  </si>
  <si>
    <t>KG155292</t>
  </si>
  <si>
    <t>v168008</t>
  </si>
  <si>
    <t>Амотизатор кабины МБ Аксор</t>
  </si>
  <si>
    <t>v966510</t>
  </si>
  <si>
    <t>KG210501, v210501</t>
  </si>
  <si>
    <t>Наконечник крана уровня пола 45мм М8*1</t>
  </si>
  <si>
    <t>Тяга крана уровня пола ???? см с наконеч  32см</t>
  </si>
  <si>
    <t>Кран регулятора прицепа Рено</t>
  </si>
  <si>
    <t>v561980</t>
  </si>
  <si>
    <t>Амортизатор МАН F2000 перед</t>
  </si>
  <si>
    <t>v266002</t>
  </si>
  <si>
    <t>v362910</t>
  </si>
  <si>
    <t>v351542,  v151542</t>
  </si>
  <si>
    <t>Полный набор прокладок 108мм MAN D0826</t>
  </si>
  <si>
    <t>v220828</t>
  </si>
  <si>
    <t>v165074, v952520</t>
  </si>
  <si>
    <t>v262001</t>
  </si>
  <si>
    <t>v095820</t>
  </si>
  <si>
    <t>v157408</t>
  </si>
  <si>
    <t>v170917  v170911</t>
  </si>
  <si>
    <t>v178071</t>
  </si>
  <si>
    <t>v157307</t>
  </si>
  <si>
    <t>v157308</t>
  </si>
  <si>
    <t>Гофра глушителя 80*1000</t>
  </si>
  <si>
    <t>Зеркало с подогревом МБ 2644/Вольво</t>
  </si>
  <si>
    <t>Кран запорный МАН / МЕрседес МБ / Вольво / ДАФ  10BAR M22X1.5  4520021070</t>
  </si>
  <si>
    <t>v151864</t>
  </si>
  <si>
    <t>v151823</t>
  </si>
  <si>
    <t>v151819</t>
  </si>
  <si>
    <t>v151809</t>
  </si>
  <si>
    <t>v645053</t>
  </si>
  <si>
    <t>v121311</t>
  </si>
  <si>
    <t>v021310</t>
  </si>
  <si>
    <t>Хомут гофры глушителя 110</t>
  </si>
  <si>
    <t>v021207</t>
  </si>
  <si>
    <t>v021213</t>
  </si>
  <si>
    <t>Фонарь заднего хода МБ 345 белый</t>
  </si>
  <si>
    <t>v146010</t>
  </si>
  <si>
    <t>v146916</t>
  </si>
  <si>
    <t>v146906</t>
  </si>
  <si>
    <t>v100104</t>
  </si>
  <si>
    <t>Заклепка 8*18 алюминиевая прямая (цена за 1кг)</t>
  </si>
  <si>
    <t>Заклепка 8*22 алюминиевая прямая (цена за 1 кг)</t>
  </si>
  <si>
    <t>v095818</t>
  </si>
  <si>
    <t>v095822</t>
  </si>
  <si>
    <t>KG115119, KG108400</t>
  </si>
  <si>
    <t>Насос ручной подкачки МБ 0000912190  0440011007</t>
  </si>
  <si>
    <t>v685016</t>
  </si>
  <si>
    <t>v046000</t>
  </si>
  <si>
    <t>v146907</t>
  </si>
  <si>
    <t>v650605, KG101020</t>
  </si>
  <si>
    <t>v246943</t>
  </si>
  <si>
    <t>v246262</t>
  </si>
  <si>
    <t>v645061</t>
  </si>
  <si>
    <t>v246209</t>
  </si>
  <si>
    <t>v170229</t>
  </si>
  <si>
    <t>Ремень зубчатый AVX 13/12,5*925  AIS Driving Germany</t>
  </si>
  <si>
    <t>Ремень зубчатый AVX 13/12,5*1300  AIS Driving Germany</t>
  </si>
  <si>
    <t>Ремень зубчатый AVX 13/12,5*1325  AIS Driving Germany</t>
  </si>
  <si>
    <t>Ремень зубчатый AVX 13/12,5*1375  AIS Driving Germany</t>
  </si>
  <si>
    <t>Ремень зубчатый AVX 13/12,5*1400  AIS Driving Germany</t>
  </si>
  <si>
    <t>Ремень зубчатый AVX 13/12,5*1425  AIS Driving Germany</t>
  </si>
  <si>
    <t>Ремень зубчатый AVX 13/12,5*1875  AIS Driving Germany</t>
  </si>
  <si>
    <t>Ремень зубчатый AVX 13/12,5*1900  AIS Driving Germany</t>
  </si>
  <si>
    <t>Ремень зубчатый AVX 13/12,5*2100  AIS Driving Germany</t>
  </si>
  <si>
    <t>Ремень зубчатый AVX 13/12,5*2550  AIS Driving Germany</t>
  </si>
  <si>
    <t>Ремень зубчатый AVX 13/12,5*1675  AIS Driving Germany</t>
  </si>
  <si>
    <t>Ремень зубчатый AVX 13/12,5*1725  AIS Driving Germany</t>
  </si>
  <si>
    <t>Ремень зубчатый AVX 13/12,5*2150  AIS Driving Germany</t>
  </si>
  <si>
    <t>Ремень зубчатый AVX 13/12,5*900  AIS Driving Germany</t>
  </si>
  <si>
    <t>Генератор  28v 140A МБ/Ванхул</t>
  </si>
  <si>
    <t>v175040</t>
  </si>
  <si>
    <t>Амортизатор Неоплан 62010201    6752601</t>
  </si>
  <si>
    <t>v866601</t>
  </si>
  <si>
    <t>Эмблема колпака декоративного Ман пластик</t>
  </si>
  <si>
    <t>v277008</t>
  </si>
  <si>
    <t>Заклепка 8*28 алюминиевая прямая (цена за 1 кг)</t>
  </si>
  <si>
    <t>v095828</t>
  </si>
  <si>
    <t>Заклепка 10*28 алюминиевая прямая (цена за 1 кг)</t>
  </si>
  <si>
    <t>v095078</t>
  </si>
  <si>
    <t>Эмблема колпака декоративного СЕтра пластик</t>
  </si>
  <si>
    <t>v377011</t>
  </si>
  <si>
    <t>v170679</t>
  </si>
  <si>
    <t>v170678</t>
  </si>
  <si>
    <t>v351800</t>
  </si>
  <si>
    <t>v092017</t>
  </si>
  <si>
    <t>v161102</t>
  </si>
  <si>
    <t>v186267</t>
  </si>
  <si>
    <t>v070007</t>
  </si>
  <si>
    <t>v960020</t>
  </si>
  <si>
    <t>v270238</t>
  </si>
  <si>
    <t>v208390</t>
  </si>
  <si>
    <t>v377010</t>
  </si>
  <si>
    <t>Эмблема колпака декоративного Неоплан пластик</t>
  </si>
  <si>
    <t>Эмблема колпака декоративного МБ пластик</t>
  </si>
  <si>
    <t>v177012</t>
  </si>
  <si>
    <t>SV1350</t>
  </si>
  <si>
    <t>v792031, v792024</t>
  </si>
  <si>
    <t>v092000, v292003</t>
  </si>
  <si>
    <t>v412402</t>
  </si>
  <si>
    <t>Сальник 48*75*8</t>
  </si>
  <si>
    <t>v192197, v192310, v292021</t>
  </si>
  <si>
    <t>v092175, v092176, v292030</t>
  </si>
  <si>
    <t>v192183, v292030, v192001</t>
  </si>
  <si>
    <t>KG130007,v021150</t>
  </si>
  <si>
    <t>v163997</t>
  </si>
  <si>
    <t>v183330</t>
  </si>
  <si>
    <t>v270641</t>
  </si>
  <si>
    <t>v762003</t>
  </si>
  <si>
    <t>v170230</t>
  </si>
  <si>
    <t>v170228</t>
  </si>
  <si>
    <t>v650630</t>
  </si>
  <si>
    <t>v374017</t>
  </si>
  <si>
    <t>v066677</t>
  </si>
  <si>
    <t>Амортизатор МБ Аксор</t>
  </si>
  <si>
    <t>v170921</t>
  </si>
  <si>
    <t>Обмотка  генератора (корпус) 24v 140A</t>
  </si>
  <si>
    <t>Диск тормозной Неоплан NP1501</t>
  </si>
  <si>
    <t>v266025</t>
  </si>
  <si>
    <t>v266024</t>
  </si>
  <si>
    <t>v166664</t>
  </si>
  <si>
    <t>v146002</t>
  </si>
  <si>
    <t>v194049</t>
  </si>
  <si>
    <t>v194018</t>
  </si>
  <si>
    <t>v192217,v292012</t>
  </si>
  <si>
    <t>v170349</t>
  </si>
  <si>
    <t>Сальник 100*16*25</t>
  </si>
  <si>
    <t>v192117</t>
  </si>
  <si>
    <t>v120011</t>
  </si>
  <si>
    <t>v262920</t>
  </si>
  <si>
    <t>v153655</t>
  </si>
  <si>
    <t>Ремкомплект шкворня 50/51 со втулкой</t>
  </si>
  <si>
    <t>v170609</t>
  </si>
  <si>
    <t>v170608</t>
  </si>
  <si>
    <t>v461001</t>
  </si>
  <si>
    <t>v412321</t>
  </si>
  <si>
    <t>v285010</t>
  </si>
  <si>
    <t>v289002</t>
  </si>
  <si>
    <t>v261170</t>
  </si>
  <si>
    <t>v261002</t>
  </si>
  <si>
    <t>v263690</t>
  </si>
  <si>
    <t>v060240</t>
  </si>
  <si>
    <t>v661002</t>
  </si>
  <si>
    <t>v021370</t>
  </si>
  <si>
    <t>Хомут гофры глушителя 70,5</t>
  </si>
  <si>
    <t>Шланг масляный сцепления 2517</t>
  </si>
  <si>
    <t>v292012,v792035</t>
  </si>
  <si>
    <t>v054609</t>
  </si>
  <si>
    <t>Крестовина 27*81</t>
  </si>
  <si>
    <t>KG144001, v144001</t>
  </si>
  <si>
    <t>KG101066, v250602</t>
  </si>
  <si>
    <t>v192001, v292074</t>
  </si>
  <si>
    <t>v292074, v192157, v412400</t>
  </si>
  <si>
    <t>v261004</t>
  </si>
  <si>
    <t>v262002</t>
  </si>
  <si>
    <t>v685118</t>
  </si>
  <si>
    <t>v461002</t>
  </si>
  <si>
    <t>v261003</t>
  </si>
  <si>
    <t>v174015</t>
  </si>
  <si>
    <t>Зеркало без подогрева V8</t>
  </si>
  <si>
    <t>v685200</t>
  </si>
  <si>
    <t>v095095</t>
  </si>
  <si>
    <t>Заклепка 7*28 алюминиевая прямая (цена за 1 кг)</t>
  </si>
  <si>
    <t>KG201400</t>
  </si>
  <si>
    <t>v351023</t>
  </si>
  <si>
    <t>Диск тормозной сетра  NP1203</t>
  </si>
  <si>
    <t>v685120, v262900</t>
  </si>
  <si>
    <t>v174307</t>
  </si>
  <si>
    <t>KG101009</t>
  </si>
  <si>
    <t>v675186</t>
  </si>
  <si>
    <t>v750602</t>
  </si>
  <si>
    <t>Ремень зубчатый AVX 13/12,5*1850  AIS Driving Germany</t>
  </si>
  <si>
    <t>Прокладка двигателя верхний набор Ман 128 мм c уплот резинками</t>
  </si>
  <si>
    <t>Прокладка двигателя верхний набор МАН 128 мм  евро</t>
  </si>
  <si>
    <t>Тяга крана уровня пола 6*315 с наконеч с пласти након</t>
  </si>
  <si>
    <t>v169542</t>
  </si>
  <si>
    <t>v164930</t>
  </si>
  <si>
    <t>v762002</t>
  </si>
  <si>
    <t>Прокладка двигателя верхний набор МБ 128 мм  с уплот резинками</t>
  </si>
  <si>
    <t>v263990</t>
  </si>
  <si>
    <t>v120006</t>
  </si>
  <si>
    <t>Тяга крана уровня пола 400см</t>
  </si>
  <si>
    <t>v750600</t>
  </si>
  <si>
    <t>v950607</t>
  </si>
  <si>
    <t>v950611</t>
  </si>
  <si>
    <t>v750608</t>
  </si>
  <si>
    <t>v550601</t>
  </si>
  <si>
    <t>v750609</t>
  </si>
  <si>
    <t xml:space="preserve"> v575001</t>
  </si>
  <si>
    <t>v680068</t>
  </si>
  <si>
    <t>KG153657, v153657</t>
  </si>
  <si>
    <t>v130111</t>
  </si>
  <si>
    <t>Головка компрессора 100мм МБ</t>
  </si>
  <si>
    <t>v120017</t>
  </si>
  <si>
    <t>v680144</t>
  </si>
  <si>
    <t>v120007</t>
  </si>
  <si>
    <t>KG202801, KG138063</t>
  </si>
  <si>
    <t>KG950703</t>
  </si>
  <si>
    <t>KG101126</t>
  </si>
  <si>
    <t>v750605</t>
  </si>
  <si>
    <t>v154127</t>
  </si>
  <si>
    <t>Амортизатор багажника МБ 403</t>
  </si>
  <si>
    <t>Ремень зубчатый AVX 13/12,5*2450  AIS Driving Germany</t>
  </si>
  <si>
    <t>KG350605,  KG101057</t>
  </si>
  <si>
    <t>KG205226,KG 138138, v205225</t>
  </si>
  <si>
    <t>KG101114</t>
  </si>
  <si>
    <t>KG101068</t>
  </si>
  <si>
    <t>KG150609</t>
  </si>
  <si>
    <t>KG101026</t>
  </si>
  <si>
    <t>KG101043</t>
  </si>
  <si>
    <t>KG950604</t>
  </si>
  <si>
    <t>KG101083</t>
  </si>
  <si>
    <t>KG511940</t>
  </si>
  <si>
    <t>v950701</t>
  </si>
  <si>
    <t>v950630</t>
  </si>
  <si>
    <t>v950666</t>
  </si>
  <si>
    <t>v950605</t>
  </si>
  <si>
    <t>v950631</t>
  </si>
  <si>
    <t>v550600</t>
  </si>
  <si>
    <t>v950640</t>
  </si>
  <si>
    <t>v675227</t>
  </si>
  <si>
    <t>v550705</t>
  </si>
  <si>
    <t>v120950</t>
  </si>
  <si>
    <t>KG105125,v105125</t>
  </si>
  <si>
    <t>v120005</t>
  </si>
  <si>
    <t>Ремень зубчатый  13/12,5*1200 Darwin Plus Germany</t>
  </si>
  <si>
    <t>Ремень зубчатый AVX 13/12,5*1000  AIS Driving Germany</t>
  </si>
  <si>
    <t>Ремень зубчатый AVX 13/12,5*1100  AIS Driving Germany</t>
  </si>
  <si>
    <t>Ремень зубчатый AVX 13/12,5*1525  AIS Driving Germany</t>
  </si>
  <si>
    <t>Ремень зубчатый AVX 13/12,5*1950  AIS Driving Germany</t>
  </si>
  <si>
    <t>Ремень зубчатый AVX 13/12,5*2000  AIS Driving Germany</t>
  </si>
  <si>
    <t>Ремень зубчатый AVX 13/12,5*2025  AIS Driving Germany</t>
  </si>
  <si>
    <t>Ремень зубчатый AVX 13/12,5*2250  AIS Driving Germany</t>
  </si>
  <si>
    <t>Ремень зубчатый AVX 13/12,5*2375  AIS Driving Germany</t>
  </si>
  <si>
    <t>Ремень зубчатый AVX 13/12,5*2400  AIS Driving Germany</t>
  </si>
  <si>
    <t>Ремень зубчатый AVX 13/12,5*2500  AIS Driving Germany</t>
  </si>
  <si>
    <t>Ремень зубчатый AVX 13/12,5*2600  AIS Driving Germany</t>
  </si>
  <si>
    <t>Ремень XРВ 1202 Lp (Darwin Plus)  17*1200</t>
  </si>
  <si>
    <t>Ремень приводной XPB 2500 (AIS-Driving)  17*2500</t>
  </si>
  <si>
    <t>Ремень ВХ 047 (Darwin Plus)  17*1250</t>
  </si>
  <si>
    <t>Ремень зубчатый AVX 13/12,5*1575 AIS Driving Germany</t>
  </si>
  <si>
    <t>v192502</t>
  </si>
  <si>
    <t>v186321</t>
  </si>
  <si>
    <t>KG101041</t>
  </si>
  <si>
    <t>v353045</t>
  </si>
  <si>
    <t>v094075</t>
  </si>
  <si>
    <t>v094076</t>
  </si>
  <si>
    <t>v194208</t>
  </si>
  <si>
    <t>v350854</t>
  </si>
  <si>
    <t>v350855</t>
  </si>
  <si>
    <t>v101428</t>
  </si>
  <si>
    <t>v101429</t>
  </si>
  <si>
    <t>v001403</t>
  </si>
  <si>
    <t>v270660</t>
  </si>
  <si>
    <t>Сальник 72*90*12 МБ Ивеко Скания</t>
  </si>
  <si>
    <t>v192175</t>
  </si>
  <si>
    <t>Сальник 95*120*13</t>
  </si>
  <si>
    <t>Сальник 100*140*15</t>
  </si>
  <si>
    <t>v492015</t>
  </si>
  <si>
    <t>v192309,v192018, v412394, v292008</t>
  </si>
  <si>
    <t>Зеркало звднего вида Неоплан п+л</t>
  </si>
  <si>
    <t>Наименование</t>
  </si>
  <si>
    <t>Ремень зубчатый AVX 13/12,5*1050  AIS Driving Germany</t>
  </si>
  <si>
    <t>Ремень зубчатый AVX 13/12,5*1500  AIS Driving Germany</t>
  </si>
  <si>
    <t>Ремень зубчатый AVX 13/12,5*1600  AIS Driving Germany</t>
  </si>
  <si>
    <t>SS712108, v157211</t>
  </si>
  <si>
    <t>v151801</t>
  </si>
  <si>
    <t>v151840, v151805</t>
  </si>
  <si>
    <t>v680148</t>
  </si>
  <si>
    <t>v411982</t>
  </si>
  <si>
    <t>Гильза компрессора Ман LK4931</t>
  </si>
  <si>
    <t>v231101</t>
  </si>
  <si>
    <t>v192157, v412400б v192053</t>
  </si>
  <si>
    <t>Ремкомплект водяного насоса Ман</t>
  </si>
  <si>
    <t>v120312</t>
  </si>
  <si>
    <t>v610009</t>
  </si>
  <si>
    <t>v129013</t>
  </si>
  <si>
    <t>Ремень зубчатый AVX 13/12,5*1775  AIS Driving Germany</t>
  </si>
  <si>
    <t>Ремень зубчатый AVX 13/12,5*1925  AIS Driving Germany</t>
  </si>
  <si>
    <t>Ремень зубчатый AVX 13/12,5*1975  AIS Driving Germany</t>
  </si>
  <si>
    <t>v180424</t>
  </si>
  <si>
    <t>KG110528,v110528</t>
  </si>
  <si>
    <t>v190014</t>
  </si>
  <si>
    <t>v151512</t>
  </si>
  <si>
    <t>v151513</t>
  </si>
  <si>
    <t>v108730</t>
  </si>
  <si>
    <t>v251901</t>
  </si>
  <si>
    <t>v151904</t>
  </si>
  <si>
    <t>v151905</t>
  </si>
  <si>
    <t>Гайка шпильки колеса 22*1.5*32</t>
  </si>
  <si>
    <t>Гайка шпильки колеса 22*1,5*27</t>
  </si>
  <si>
    <t>Гайка шпильки колеса 22*1,5*30</t>
  </si>
  <si>
    <t>v680018</t>
  </si>
  <si>
    <t>v129031</t>
  </si>
  <si>
    <t>v129009</t>
  </si>
  <si>
    <t>v129545</t>
  </si>
  <si>
    <t>v129035</t>
  </si>
  <si>
    <t>v129004</t>
  </si>
  <si>
    <t>v129019</t>
  </si>
  <si>
    <t>v092039, v292008</t>
  </si>
  <si>
    <t>v192097</t>
  </si>
  <si>
    <t>Сальник 100*120*13</t>
  </si>
  <si>
    <t>v280131</t>
  </si>
  <si>
    <t>Болт  колеса МВ  304/330</t>
  </si>
  <si>
    <t>v195030</t>
  </si>
  <si>
    <t>v194029</t>
  </si>
  <si>
    <t>v092019, v092019</t>
  </si>
  <si>
    <t>v163960</t>
  </si>
  <si>
    <t>v163970</t>
  </si>
  <si>
    <t>Головка соединительная желтая</t>
  </si>
  <si>
    <t>Головка соединительная красная</t>
  </si>
  <si>
    <t>v194050</t>
  </si>
  <si>
    <t>KG154069</t>
  </si>
  <si>
    <t>Крестовина 42*106</t>
  </si>
  <si>
    <t>v120024</t>
  </si>
  <si>
    <t>Амортизатор MAN LION  задн</t>
  </si>
  <si>
    <t>Амортизатор MAN LION перед</t>
  </si>
  <si>
    <t>v690239</t>
  </si>
  <si>
    <t>v777002</t>
  </si>
  <si>
    <t>Копак пластик Вольво</t>
  </si>
  <si>
    <t>Колпак пластик Скания</t>
  </si>
  <si>
    <t>v163990</t>
  </si>
  <si>
    <t>v163930</t>
  </si>
  <si>
    <t>Головки соединительная желтая М22*1,5</t>
  </si>
  <si>
    <t>Головка соединительная красная М16*1,5</t>
  </si>
  <si>
    <t>v175244</t>
  </si>
  <si>
    <t>Датчик тормозной</t>
  </si>
  <si>
    <t>v151503</t>
  </si>
  <si>
    <t>v129012</t>
  </si>
  <si>
    <t>v273501</t>
  </si>
  <si>
    <t>v950637</t>
  </si>
  <si>
    <t>v640094</t>
  </si>
  <si>
    <t>Выключатель массы  Вольво</t>
  </si>
  <si>
    <t>SEM номера</t>
  </si>
  <si>
    <t>v100102</t>
  </si>
  <si>
    <t>Ремень зубчатый AVX 13/12,5*2425  AIS Driving Germany</t>
  </si>
  <si>
    <t>v108638</t>
  </si>
  <si>
    <t>v108889</t>
  </si>
  <si>
    <t>v108930</t>
  </si>
  <si>
    <t>v257105</t>
  </si>
  <si>
    <t>v462411</t>
  </si>
  <si>
    <t>v270524</t>
  </si>
  <si>
    <t>v254022</t>
  </si>
  <si>
    <t>Ремень зубчатый AVX 13/12,5*825  AIS Driving Germany</t>
  </si>
  <si>
    <t>v130409</t>
  </si>
  <si>
    <t>Балластное сопротивление</t>
  </si>
  <si>
    <t>v130405</t>
  </si>
  <si>
    <t>v130213</t>
  </si>
  <si>
    <t>0817630000, FM0617630020</t>
  </si>
  <si>
    <t>v170944</t>
  </si>
  <si>
    <t>v162041</t>
  </si>
  <si>
    <t>KG350602, KG101056</t>
  </si>
  <si>
    <t>v661007</t>
  </si>
  <si>
    <t>Фонарь заднего хода Неоплан белый нового образца</t>
  </si>
  <si>
    <t>Фонарь поворота Неоплан желтый нового образца</t>
  </si>
  <si>
    <t>v370187</t>
  </si>
  <si>
    <t>v370185</t>
  </si>
  <si>
    <t>v175897</t>
  </si>
  <si>
    <t>Диск тормозной Мерседес передний</t>
  </si>
  <si>
    <t>v251583</t>
  </si>
  <si>
    <t>Датчик тормозной МБ ОМ366</t>
  </si>
  <si>
    <t>Датчи тормозной Ман</t>
  </si>
  <si>
    <t>DT460625</t>
  </si>
  <si>
    <t>Гофра глушителя 140*1000</t>
  </si>
  <si>
    <t>v021501</t>
  </si>
  <si>
    <t>Гофра глушителя 100*300</t>
  </si>
  <si>
    <t>Гофра глушителя 110*350</t>
  </si>
  <si>
    <t>v221335</t>
  </si>
  <si>
    <t>v221104</t>
  </si>
  <si>
    <t>Гофра глушителя 110*450</t>
  </si>
  <si>
    <t>v221246</t>
  </si>
  <si>
    <t>Гофра глушителя 110*500</t>
  </si>
  <si>
    <t>v021350</t>
  </si>
  <si>
    <t>Гофра глушителя 110*600</t>
  </si>
  <si>
    <t>v221202</t>
  </si>
  <si>
    <t>Гофра глушителя 120*600</t>
  </si>
  <si>
    <t>v221204</t>
  </si>
  <si>
    <t>Гофра глушителя 127*140</t>
  </si>
  <si>
    <t>v615064</t>
  </si>
  <si>
    <t>v615062</t>
  </si>
  <si>
    <t>Гофра глушителя 127*350</t>
  </si>
  <si>
    <t>Гофра глушителя 70*400</t>
  </si>
  <si>
    <t>v221209</t>
  </si>
  <si>
    <t>Гофра глушителя 76*300</t>
  </si>
  <si>
    <t>v121202</t>
  </si>
  <si>
    <t>Гофра глушителя 90*350</t>
  </si>
  <si>
    <t>v121203</t>
  </si>
  <si>
    <t>Гофра глушителя 90*500</t>
  </si>
  <si>
    <t>v021102</t>
  </si>
  <si>
    <t>Ферадо диска сцепления 430 мм</t>
  </si>
  <si>
    <t>v041507</t>
  </si>
  <si>
    <t>v153649</t>
  </si>
  <si>
    <t>v230701</t>
  </si>
  <si>
    <t>v194010</t>
  </si>
  <si>
    <t>Датчик уровня топлива</t>
  </si>
  <si>
    <t>v120503</t>
  </si>
  <si>
    <t>v120201</t>
  </si>
  <si>
    <t>v194174</t>
  </si>
  <si>
    <t>v155311</t>
  </si>
  <si>
    <t>v998135</t>
  </si>
  <si>
    <t>Бак  Вебасто</t>
  </si>
  <si>
    <t>v161104</t>
  </si>
  <si>
    <t>v132100</t>
  </si>
  <si>
    <t>v131007</t>
  </si>
  <si>
    <t>v130604</t>
  </si>
  <si>
    <t>Втулка компрессора 100</t>
  </si>
  <si>
    <t>v131092</t>
  </si>
  <si>
    <t>Гильза компрессора водяного охлажд 50.01000.0173  90мм  не такая</t>
  </si>
  <si>
    <t>v130137</t>
  </si>
  <si>
    <t>v130138</t>
  </si>
  <si>
    <t>v130118</t>
  </si>
  <si>
    <t>v130404</t>
  </si>
  <si>
    <t>v130500</t>
  </si>
  <si>
    <t>v031311</t>
  </si>
  <si>
    <t>v164935</t>
  </si>
  <si>
    <t>Полный набор прокладок 125мм МБ ОМ401</t>
  </si>
  <si>
    <t>v130803</t>
  </si>
  <si>
    <t>v131107</t>
  </si>
  <si>
    <t>Гильза компрессора   100мм</t>
  </si>
  <si>
    <t>v105026,KG138036</t>
  </si>
  <si>
    <t>v254100</t>
  </si>
  <si>
    <t>v183107</t>
  </si>
  <si>
    <t>v357305</t>
  </si>
  <si>
    <t>v180004</t>
  </si>
  <si>
    <t>v155038</t>
  </si>
  <si>
    <t>v170529</t>
  </si>
  <si>
    <t>v170530</t>
  </si>
  <si>
    <t>v351022</t>
  </si>
  <si>
    <t>Диск тормозной сетра  NP1202</t>
  </si>
  <si>
    <t>716019S, v157212</t>
  </si>
  <si>
    <t>Ремень зубчатый AVX 13/12,5*875  EXOVO</t>
  </si>
  <si>
    <t>KG205230, KG138003,v205228</t>
  </si>
  <si>
    <t>v070705,v370001</t>
  </si>
  <si>
    <t>v411581</t>
  </si>
  <si>
    <t>Колпак колесный никель Ман</t>
  </si>
  <si>
    <t>v277001</t>
  </si>
  <si>
    <t>v819119,KYT33018</t>
  </si>
  <si>
    <t>S910948</t>
  </si>
  <si>
    <t>v155154</t>
  </si>
  <si>
    <t>Камера блокировочная125 Ман Сетра</t>
  </si>
  <si>
    <t>v095037,v095120</t>
  </si>
  <si>
    <t>v095037,KG095122, v095122</t>
  </si>
  <si>
    <t>Ремень ВХ85  (Darwin Plus)  17*2202</t>
  </si>
  <si>
    <t>Ремень поликлиновой 08К1816</t>
  </si>
  <si>
    <t>KG225106, KG148016</t>
  </si>
  <si>
    <t>Сальник 105*130*12     коленвала  малый</t>
  </si>
  <si>
    <t>Сальник 120Х140Х13  MAN/ MB/ Рено   метал окантовка  коленвала большой</t>
  </si>
  <si>
    <t>KG205207</t>
  </si>
  <si>
    <t xml:space="preserve">  KG157204,KG119026</t>
  </si>
  <si>
    <t>Сальник 60*72*8  FEBI 18936</t>
  </si>
  <si>
    <t>Ремень зубчатый AVX 13/12,5*1175  AIS Driving Germany</t>
  </si>
  <si>
    <t>v950860</t>
  </si>
  <si>
    <t>v950861, v950862,</t>
  </si>
  <si>
    <t>v350831</t>
  </si>
  <si>
    <t>v350830</t>
  </si>
  <si>
    <t>v095819</t>
  </si>
  <si>
    <t>v192159</t>
  </si>
  <si>
    <t>KG250601,G101130</t>
  </si>
  <si>
    <t>Ремень зубчатый AVX 13/12,5*2300  AIS Driving Germany</t>
  </si>
  <si>
    <t>Ремень зубчатый AVX 13/12,5*2350  AIS Driving Germany</t>
  </si>
  <si>
    <t>v157113</t>
  </si>
  <si>
    <t>v357116</t>
  </si>
  <si>
    <t>v151847</t>
  </si>
  <si>
    <t>v811460</t>
  </si>
  <si>
    <t>v811782</t>
  </si>
  <si>
    <t>v155014</t>
  </si>
  <si>
    <t>v157404</t>
  </si>
  <si>
    <t>v157405</t>
  </si>
  <si>
    <t>v157407</t>
  </si>
  <si>
    <t>v152524</t>
  </si>
  <si>
    <t>v195142</t>
  </si>
  <si>
    <t>v155165</t>
  </si>
  <si>
    <t>v353502</t>
  </si>
  <si>
    <t>v155312</t>
  </si>
  <si>
    <t>v151682</t>
  </si>
  <si>
    <t>Ремень зубчатый AVX 13/12,5*850  AIS Driving Germany</t>
  </si>
  <si>
    <t>v155310</t>
  </si>
  <si>
    <t>v357304</t>
  </si>
  <si>
    <t>v194110</t>
  </si>
  <si>
    <t>KG101122, v150620</t>
  </si>
  <si>
    <t>v810797,FEBI08788</t>
  </si>
  <si>
    <t>v255059</t>
  </si>
  <si>
    <t>v255040</t>
  </si>
  <si>
    <t>v351031</t>
  </si>
  <si>
    <t>v151209</t>
  </si>
  <si>
    <t>Барабан  задний сетра</t>
  </si>
  <si>
    <t>Диск тормозоной МБ403</t>
  </si>
  <si>
    <t>v361190</t>
  </si>
  <si>
    <t>v178405</t>
  </si>
  <si>
    <t>v070597</t>
  </si>
  <si>
    <t>v194279</t>
  </si>
  <si>
    <t>v110609</t>
  </si>
  <si>
    <t>v164932</t>
  </si>
  <si>
    <t>v950724</t>
  </si>
  <si>
    <t>v101105</t>
  </si>
  <si>
    <t>v225590</t>
  </si>
  <si>
    <t>KG950618</t>
  </si>
  <si>
    <t>v178085</t>
  </si>
  <si>
    <t>.083865308</t>
  </si>
  <si>
    <t>v170250</t>
  </si>
  <si>
    <t>Кабель осушителя</t>
  </si>
  <si>
    <t>v180814</t>
  </si>
  <si>
    <t>v175411</t>
  </si>
  <si>
    <t>Кнопка пусковая красная</t>
  </si>
  <si>
    <t>v820196, v194036</t>
  </si>
  <si>
    <t>Сальник хвостовика 85Х105Х13 Икарус</t>
  </si>
  <si>
    <t>v129000,v129006</t>
  </si>
  <si>
    <t>SG1563</t>
  </si>
  <si>
    <t>Форсунка котла отопителя 0,6  60Н</t>
  </si>
  <si>
    <t>Форсунка котла отопителя 0,65  80H</t>
  </si>
  <si>
    <t>Форсунка котла отопителя 0,75  80W</t>
  </si>
  <si>
    <t>Форсунка котла отопителя 0,85  80H</t>
  </si>
  <si>
    <t>14845C</t>
  </si>
  <si>
    <t>v153594</t>
  </si>
  <si>
    <t>v177003,v277002</t>
  </si>
  <si>
    <t>v155032</t>
  </si>
  <si>
    <t>v377015,v377002</t>
  </si>
  <si>
    <t>v377016,v377004</t>
  </si>
  <si>
    <t>v177011,v177003</t>
  </si>
  <si>
    <t>avt7001</t>
  </si>
  <si>
    <t>.0123140</t>
  </si>
  <si>
    <t>Диск сцепления   d400mm 0102508903</t>
  </si>
  <si>
    <t>19970А</t>
  </si>
  <si>
    <t>14846В</t>
  </si>
  <si>
    <t>SG1572D</t>
  </si>
  <si>
    <t>v170552</t>
  </si>
  <si>
    <t>v070706,v370000</t>
  </si>
  <si>
    <t>v351504</t>
  </si>
  <si>
    <t>Ремень безопасности</t>
  </si>
  <si>
    <t>v195015</t>
  </si>
  <si>
    <t>v258821</t>
  </si>
  <si>
    <t xml:space="preserve">Камера задн с энергоакк тип 12/20 Knorr BY9225 Лиаз </t>
  </si>
  <si>
    <t>Форсунка котла отопителя 1.0  80H</t>
  </si>
  <si>
    <t>572813А</t>
  </si>
  <si>
    <t>v054012</t>
  </si>
  <si>
    <t>70870B</t>
  </si>
  <si>
    <t xml:space="preserve">Гофра глушителя 100х1000 </t>
  </si>
  <si>
    <t>v151580</t>
  </si>
  <si>
    <t>Амортизатор капота Сетра длина 565 730N</t>
  </si>
  <si>
    <t>v350603</t>
  </si>
  <si>
    <t>v350609</t>
  </si>
  <si>
    <t>avt5256, v355256</t>
  </si>
  <si>
    <t>avt7002, v357002</t>
  </si>
  <si>
    <t>v194009</t>
  </si>
  <si>
    <t>v143003, v357108</t>
  </si>
  <si>
    <t>62482Е</t>
  </si>
  <si>
    <t>v194009, 33210</t>
  </si>
  <si>
    <t>.2518189915100</t>
  </si>
  <si>
    <t>Колпчек маслосъемный МС ОМ422 5031931200</t>
  </si>
  <si>
    <t>14945А</t>
  </si>
  <si>
    <t>14913А</t>
  </si>
  <si>
    <t>14941А</t>
  </si>
  <si>
    <t xml:space="preserve"> v074027</t>
  </si>
  <si>
    <t>avt 0017,v170017</t>
  </si>
  <si>
    <t>v170606</t>
  </si>
  <si>
    <t>avt0587, v170587</t>
  </si>
  <si>
    <t>Амортизатор ГУР МБ 403</t>
  </si>
  <si>
    <t>v125210</t>
  </si>
  <si>
    <t>v125211</t>
  </si>
  <si>
    <t>v125255</t>
  </si>
  <si>
    <t>v125111</t>
  </si>
  <si>
    <t>Барабан тормозной МБ ОМ345</t>
  </si>
  <si>
    <t>Замок крышки багажника правый МБ</t>
  </si>
  <si>
    <t>Замок крышки багажника левый МБ</t>
  </si>
  <si>
    <t>avt1903,v171903</t>
  </si>
  <si>
    <t>avt1904,v171904</t>
  </si>
  <si>
    <t>avt1454,v171454</t>
  </si>
  <si>
    <t>Замок багажника МБ 403/404</t>
  </si>
  <si>
    <t>avt4052, v194052</t>
  </si>
  <si>
    <t>vavt5635, v225635</t>
  </si>
  <si>
    <t>avt0202, v130202</t>
  </si>
  <si>
    <t>v155166</t>
  </si>
  <si>
    <t>Болт балки МБ 403/404 24*1,5*242</t>
  </si>
  <si>
    <t>v157403</t>
  </si>
  <si>
    <t>avt0102, v150102</t>
  </si>
  <si>
    <t>v110715</t>
  </si>
  <si>
    <t>v205128, KG138049</t>
  </si>
  <si>
    <t>Амортизатор сиденься Сетра 550 L27, длина общая 25</t>
  </si>
  <si>
    <t>avt4507, v374507</t>
  </si>
  <si>
    <t>v129036, v6101.665</t>
  </si>
  <si>
    <t>Диск сцепления МБ/Ман 430  НЕ ЗАКАЗЫВАТЬ В ТУРЦИИ</t>
  </si>
  <si>
    <t>v175215</t>
  </si>
  <si>
    <t>KG814681, CR01016959</t>
  </si>
  <si>
    <t>v193469</t>
  </si>
  <si>
    <t>KG162905</t>
  </si>
  <si>
    <t xml:space="preserve"> 083865850, v179305</t>
  </si>
  <si>
    <t>v195064</t>
  </si>
  <si>
    <t>v162920</t>
  </si>
  <si>
    <t>v165572</t>
  </si>
  <si>
    <t>KG350611</t>
  </si>
  <si>
    <t>v351032</t>
  </si>
  <si>
    <t xml:space="preserve">Барабан задний сетра </t>
  </si>
  <si>
    <t>KG150702</t>
  </si>
  <si>
    <t>Ремень зубчатый AVX 13/12,5*1650  AIS Driving Germany</t>
  </si>
  <si>
    <t>v165575,v165576</t>
  </si>
  <si>
    <t>v190012</t>
  </si>
  <si>
    <t>Гофра глушителя Ман ТГА  118*405</t>
  </si>
  <si>
    <t>v169508</t>
  </si>
  <si>
    <t>Шланг ГУР МБ V8</t>
  </si>
  <si>
    <t>v995079</t>
  </si>
  <si>
    <t>v995081</t>
  </si>
  <si>
    <t>v770312</t>
  </si>
  <si>
    <t>v770603</t>
  </si>
  <si>
    <t>v254045</t>
  </si>
  <si>
    <t>Амортизатор багажника МБ450 350N</t>
  </si>
  <si>
    <t>Амортизатор багажника МБ 404 800N</t>
  </si>
  <si>
    <t>v174325</t>
  </si>
  <si>
    <t>v174326</t>
  </si>
  <si>
    <t>v174421</t>
  </si>
  <si>
    <t>Амортизатор капота 350</t>
  </si>
  <si>
    <t>v151845</t>
  </si>
  <si>
    <t>v954079</t>
  </si>
  <si>
    <t>v811022</t>
  </si>
  <si>
    <t>v811066</t>
  </si>
  <si>
    <t>Датчик температур 345 Атего</t>
  </si>
  <si>
    <t xml:space="preserve"> v163996</t>
  </si>
  <si>
    <t>v180132</t>
  </si>
  <si>
    <t>Кабель датчика заднего хода</t>
  </si>
  <si>
    <t>Сальник хвостовика 85Х105Х12</t>
  </si>
  <si>
    <t>v995084</t>
  </si>
  <si>
    <t>v251107</t>
  </si>
  <si>
    <t>v151207</t>
  </si>
  <si>
    <t>Барабан МБ302 перед</t>
  </si>
  <si>
    <t>Барабан Ман  задн</t>
  </si>
  <si>
    <t>v151222</t>
  </si>
  <si>
    <t>Барабан ОМ 303</t>
  </si>
  <si>
    <t>РМК вилки сцепления</t>
  </si>
  <si>
    <t>Вилка сцепления</t>
  </si>
  <si>
    <t>Сальник 130*170*17</t>
  </si>
  <si>
    <t>KG155157</t>
  </si>
  <si>
    <t>kg192270, v812480, DPH96427</t>
  </si>
  <si>
    <t>v411887,v154121</t>
  </si>
  <si>
    <t>KG194040</t>
  </si>
  <si>
    <t>KG125625</t>
  </si>
  <si>
    <t>Ремень зубчатый AVX 13/12,5*1625  AIS Driving Germany</t>
  </si>
  <si>
    <t>Ремень зубчатый AVX 13/12,5*2200  AIS Driving Germany</t>
  </si>
  <si>
    <t>v247002</t>
  </si>
  <si>
    <t>v355021</t>
  </si>
  <si>
    <t>v355028</t>
  </si>
  <si>
    <t>v355029</t>
  </si>
  <si>
    <t>v129040, v129701</t>
  </si>
  <si>
    <t>Ремень зубчатый AVX 13/12,5*1825  AIS Driving Germany</t>
  </si>
  <si>
    <t>v357306</t>
  </si>
  <si>
    <t>v100503,v100501</t>
  </si>
  <si>
    <t>Сальник 135*170*18</t>
  </si>
  <si>
    <t>v814901</t>
  </si>
  <si>
    <t>461340, KG179405</t>
  </si>
  <si>
    <t>avt4026,v374026</t>
  </si>
  <si>
    <t>kg210901,KG210989</t>
  </si>
  <si>
    <t>Барабан МБ 303  высок</t>
  </si>
  <si>
    <t>kg357028</t>
  </si>
  <si>
    <t xml:space="preserve"> avt1105, v171105</t>
  </si>
  <si>
    <t>kg156019</t>
  </si>
  <si>
    <t>kg105235</t>
  </si>
  <si>
    <t>Полный набор прокладок 128мм МБ ОМ447/427 V8 Kraftiger Германия</t>
  </si>
  <si>
    <t>kg350704,v251117</t>
  </si>
  <si>
    <t xml:space="preserve">Ремкомплект бортовой передачи </t>
  </si>
  <si>
    <t>v996001</t>
  </si>
  <si>
    <t>v970918</t>
  </si>
  <si>
    <t>50013094, v180574</t>
  </si>
  <si>
    <t>1500.215.2</t>
  </si>
  <si>
    <t>805.100.2</t>
  </si>
  <si>
    <t>805.101.2</t>
  </si>
  <si>
    <t>1500.101.2</t>
  </si>
  <si>
    <t>1500.100.2</t>
  </si>
  <si>
    <t>Диск сцепления 420 V М8/ Ман  0123127</t>
  </si>
  <si>
    <t>1500.408.2</t>
  </si>
  <si>
    <t>1500.466.2</t>
  </si>
  <si>
    <t>kg157443,KG156016</t>
  </si>
  <si>
    <t>132512, v995112</t>
  </si>
  <si>
    <t>.0120004000001, v125006</t>
  </si>
  <si>
    <t>WP10-11</t>
  </si>
  <si>
    <t>50013022, v180149</t>
  </si>
  <si>
    <t>805.103.2</t>
  </si>
  <si>
    <t>Заклепка 10"20 трубчатая</t>
  </si>
  <si>
    <t>v194080</t>
  </si>
  <si>
    <t xml:space="preserve">Диск тормозной </t>
  </si>
  <si>
    <t>v095816</t>
  </si>
  <si>
    <t>KG153306  v170603</t>
  </si>
  <si>
    <t>Сальник хвостовика 80Х100Х20</t>
  </si>
  <si>
    <t>v192251</t>
  </si>
  <si>
    <t>v175185</t>
  </si>
  <si>
    <t>Прокладка поддона МАН 2566  уменьшить</t>
  </si>
  <si>
    <t>50013028,v283304</t>
  </si>
  <si>
    <t>v070598</t>
  </si>
  <si>
    <t>v157401</t>
  </si>
  <si>
    <t>Балка</t>
  </si>
  <si>
    <t>v278005</t>
  </si>
  <si>
    <t>v278006</t>
  </si>
  <si>
    <t>v355022</t>
  </si>
  <si>
    <t>800.101.2</t>
  </si>
  <si>
    <t>Амортизатор МБ350/403 Травего задн</t>
  </si>
  <si>
    <t>Диск сцепления 0523100</t>
  </si>
  <si>
    <t>.0523100</t>
  </si>
  <si>
    <t>950900039335, KG996546</t>
  </si>
  <si>
    <t>150600125166,v250859</t>
  </si>
  <si>
    <t>100600211166,v150851</t>
  </si>
  <si>
    <t>100600210166,v150863</t>
  </si>
  <si>
    <t>200100461344,v121508</t>
  </si>
  <si>
    <t>100700109379,v130291</t>
  </si>
  <si>
    <t>100650122669,v150101</t>
  </si>
  <si>
    <t>100700110379,v130402</t>
  </si>
  <si>
    <t>100600209254,avt4120, v194120</t>
  </si>
  <si>
    <t>KG105130,100100405378</t>
  </si>
  <si>
    <t>100600207109,v152579</t>
  </si>
  <si>
    <t>100600209254,v169105</t>
  </si>
  <si>
    <t>KG105231,100100406378,</t>
  </si>
  <si>
    <t>100300080847,v170348</t>
  </si>
  <si>
    <t>BR9152</t>
  </si>
  <si>
    <t>LE12243/2X,50013024, KG180139</t>
  </si>
  <si>
    <t>FP8134X,  50013021, v183309</t>
  </si>
  <si>
    <t>0119084, v100900</t>
  </si>
  <si>
    <t>KG370810,  950300067867</t>
  </si>
  <si>
    <t>KG120799, 100150015841</t>
  </si>
  <si>
    <t>100100474152, avt0905, v100905</t>
  </si>
  <si>
    <t xml:space="preserve">Ручка багажника МБ 403 пластик  </t>
  </si>
  <si>
    <t>950450001222, v054604</t>
  </si>
  <si>
    <t>400450017222, v054614</t>
  </si>
  <si>
    <t>950300059046 ,v175017</t>
  </si>
  <si>
    <t>950750030344,v121507</t>
  </si>
  <si>
    <t>100250136166,KG125106</t>
  </si>
  <si>
    <t>100100245378, v102928</t>
  </si>
  <si>
    <t>100700118073, v131508</t>
  </si>
  <si>
    <t>100250138021, v125841</t>
  </si>
  <si>
    <t>100600215073 ,v351520</t>
  </si>
  <si>
    <t>100250137299,  v127103</t>
  </si>
  <si>
    <t>100700117025,v130302</t>
  </si>
  <si>
    <t>950750029344, v163994</t>
  </si>
  <si>
    <t>250450002222, v754600</t>
  </si>
  <si>
    <t>100550239048 , KG158004</t>
  </si>
  <si>
    <t>100550233048, v157215</t>
  </si>
  <si>
    <t>100350078818, v143007</t>
  </si>
  <si>
    <t>3151108031, v343057, v143008</t>
  </si>
  <si>
    <t>100150048073,v120845</t>
  </si>
  <si>
    <t>950800026046, v370422</t>
  </si>
  <si>
    <t>950800027046, v370423</t>
  </si>
  <si>
    <t>10600108858 ,151942</t>
  </si>
  <si>
    <t>Прокладка ГБЦ МБ 128мм ОМ 401/402/441/447 евро  100100234378</t>
  </si>
  <si>
    <t>950300065046, v370183</t>
  </si>
  <si>
    <t>Фонарь стопа Неоплан нового образца  красный 0252LUK</t>
  </si>
  <si>
    <t>KG150704,  OR545002</t>
  </si>
  <si>
    <t>А40290, v166103</t>
  </si>
  <si>
    <t>OR242005,v251119</t>
  </si>
  <si>
    <t>950600101020, v350615</t>
  </si>
  <si>
    <t>950600100020, v350604</t>
  </si>
  <si>
    <t>100550243868, v158242</t>
  </si>
  <si>
    <t>950600102020, KG350701</t>
  </si>
  <si>
    <t>100600018254, v194023</t>
  </si>
  <si>
    <t>950150007344, v163999</t>
  </si>
  <si>
    <t>250600057254,v194042</t>
  </si>
  <si>
    <t>100650014301,v169556</t>
  </si>
  <si>
    <t>100150015591 ,v120798</t>
  </si>
  <si>
    <t>100350086818, v143021</t>
  </si>
  <si>
    <t>100100490378, KG105221,KG105222</t>
  </si>
  <si>
    <t>950300078650, v995080</t>
  </si>
  <si>
    <t>950300076650, v995083</t>
  </si>
  <si>
    <t>950300077650, v995082</t>
  </si>
  <si>
    <t>300600073222, v954120</t>
  </si>
  <si>
    <t>950300079650, v995062</t>
  </si>
  <si>
    <t>46600100,v351151</t>
  </si>
  <si>
    <t>Барабан неоплан перед  466.001-00</t>
  </si>
  <si>
    <t>950600026567,  v412413</t>
  </si>
  <si>
    <t>950150011344, v163991</t>
  </si>
  <si>
    <t>100300093873, v175018</t>
  </si>
  <si>
    <t>100250166241, KG125613</t>
  </si>
  <si>
    <t>100250132241, KG125624</t>
  </si>
  <si>
    <t>100100285299, v110902</t>
  </si>
  <si>
    <t>950600106020, v150614</t>
  </si>
  <si>
    <t>250400115222, v750500</t>
  </si>
  <si>
    <t>v250501</t>
  </si>
  <si>
    <t>200100401249, V110805</t>
  </si>
  <si>
    <t>200100400249,v110803</t>
  </si>
  <si>
    <t>10070058025, v130802</t>
  </si>
  <si>
    <t>100600239020, KG150616</t>
  </si>
  <si>
    <t>100600240020,   v150619</t>
  </si>
  <si>
    <t>100600241020, KG150615</t>
  </si>
  <si>
    <t>100350099667, v041506</t>
  </si>
  <si>
    <t>950200007091, v121204</t>
  </si>
  <si>
    <t>300100263052, v411468</t>
  </si>
  <si>
    <t>100750081222, KG154050</t>
  </si>
  <si>
    <t>100750090328, v192501</t>
  </si>
  <si>
    <t>SV1362</t>
  </si>
  <si>
    <t>OR142028, 151028,v151026</t>
  </si>
  <si>
    <t>.950100011378, 101530</t>
  </si>
  <si>
    <t>100100234378, KG105028</t>
  </si>
  <si>
    <t>6283230065, 102010</t>
  </si>
  <si>
    <t>150150032073,v220866</t>
  </si>
  <si>
    <t>100100077073, v120806</t>
  </si>
  <si>
    <t>100150060073, v120809</t>
  </si>
  <si>
    <t>.0002956706</t>
  </si>
  <si>
    <t>BS8413</t>
  </si>
  <si>
    <t>v101100 , v050702</t>
  </si>
  <si>
    <t>100350100334,v142206</t>
  </si>
  <si>
    <t xml:space="preserve"> v142210</t>
  </si>
  <si>
    <t>150500009, v153593</t>
  </si>
  <si>
    <t>150500009 ,v253518</t>
  </si>
  <si>
    <t>Ремень XPB2100</t>
  </si>
  <si>
    <t>100300091889,v175237</t>
  </si>
  <si>
    <t>Фитинг прямой пластик 16*16 !!!!!!!!!!!!!!</t>
  </si>
  <si>
    <t>оплата безнал 70 тыс</t>
  </si>
  <si>
    <t>BY9225</t>
  </si>
  <si>
    <t>AE4612</t>
  </si>
  <si>
    <t>AE4603</t>
  </si>
  <si>
    <t>150650085222, v251008</t>
  </si>
  <si>
    <t>150700038378, v132090</t>
  </si>
  <si>
    <t>.0130041</t>
  </si>
  <si>
    <t>100500067, 152517</t>
  </si>
  <si>
    <t>.0123133</t>
  </si>
  <si>
    <t>.0114205318</t>
  </si>
  <si>
    <t>50013037, v186225</t>
  </si>
  <si>
    <t>.0002958206</t>
  </si>
  <si>
    <t>.0123127</t>
  </si>
  <si>
    <t>.0114062, v120012</t>
  </si>
  <si>
    <t>100300091889, v175387</t>
  </si>
  <si>
    <t>100550265052, v169101</t>
  </si>
  <si>
    <t>Амортизатор ГУР МБ 302/303 с наконечником  6251101</t>
  </si>
  <si>
    <t>100500061, v152525</t>
  </si>
  <si>
    <t>.0004770002</t>
  </si>
  <si>
    <t>А40130,А50040</t>
  </si>
  <si>
    <t>А0023238000</t>
  </si>
  <si>
    <t>Амортизатор МБ 303 задний Fabio    MAYSAN</t>
  </si>
  <si>
    <t>Амортизатор МБ 403/404 передний   MAIN COON</t>
  </si>
  <si>
    <t>Амортизатор Сетра автобус  перед      MAIN COON</t>
  </si>
  <si>
    <t>Амортизатор задний МБ /Сетра / Ман  3003260300   590/354   TRUCTEK 01.30.060  01.30.041</t>
  </si>
  <si>
    <t xml:space="preserve">Амортизатор передний МБ303 Fabio  MAYSAN   6751105 </t>
  </si>
  <si>
    <t>.0237228300</t>
  </si>
  <si>
    <t>.0237022000</t>
  </si>
  <si>
    <t>.81437016827</t>
  </si>
  <si>
    <t>.0053234000</t>
  </si>
  <si>
    <t>.0023238600</t>
  </si>
  <si>
    <t>.0063262900</t>
  </si>
  <si>
    <t>.0063235400</t>
  </si>
  <si>
    <t>.0009804964</t>
  </si>
  <si>
    <t>.0009804764</t>
  </si>
  <si>
    <t>.0004636432</t>
  </si>
  <si>
    <t>59249150N</t>
  </si>
  <si>
    <t xml:space="preserve">Амортизатор Икарус  </t>
  </si>
  <si>
    <t>.315252012201</t>
  </si>
  <si>
    <t>.179252011411</t>
  </si>
  <si>
    <t xml:space="preserve">.3014231101 </t>
  </si>
  <si>
    <t xml:space="preserve">.3014211301 </t>
  </si>
  <si>
    <t>.0004230701</t>
  </si>
  <si>
    <t>.81501100144</t>
  </si>
  <si>
    <t>06.718250695</t>
  </si>
  <si>
    <t>.0029904022</t>
  </si>
  <si>
    <t>.0341002003</t>
  </si>
  <si>
    <t xml:space="preserve">.0004010672 </t>
  </si>
  <si>
    <t>.0120689535</t>
  </si>
  <si>
    <t>.0001312802</t>
  </si>
  <si>
    <t>.0001302519</t>
  </si>
  <si>
    <t>KG021402</t>
  </si>
  <si>
    <r>
      <t>Датчик температуры</t>
    </r>
    <r>
      <rPr>
        <sz val="9"/>
        <color rgb="FFFF0000"/>
        <rFont val="Arial Cyr"/>
        <charset val="204"/>
      </rPr>
      <t xml:space="preserve"> </t>
    </r>
  </si>
  <si>
    <t>.0041530428</t>
  </si>
  <si>
    <t>.0041534228</t>
  </si>
  <si>
    <t>.0025427317</t>
  </si>
  <si>
    <t xml:space="preserve">Датчик температуры МАН 2-контак 100С </t>
  </si>
  <si>
    <t>.0045455524</t>
  </si>
  <si>
    <t>Датчик температуры 0045455524   DT</t>
  </si>
  <si>
    <t>.0025421717</t>
  </si>
  <si>
    <t>Датчик спидометра МБ403 импульсный</t>
  </si>
  <si>
    <t>.0135424217</t>
  </si>
  <si>
    <t>.0005455414</t>
  </si>
  <si>
    <t>.0005456909</t>
  </si>
  <si>
    <t>.0085428117</t>
  </si>
  <si>
    <t>.0001545116</t>
  </si>
  <si>
    <t>.186141004</t>
  </si>
  <si>
    <t>.1862519259</t>
  </si>
  <si>
    <t>.1878634022</t>
  </si>
  <si>
    <t>.11015508</t>
  </si>
  <si>
    <t>.1792411111310</t>
  </si>
  <si>
    <t>.179241111307</t>
  </si>
  <si>
    <t>.3564211212</t>
  </si>
  <si>
    <t>OR142030</t>
  </si>
  <si>
    <t>.8285390000</t>
  </si>
  <si>
    <t>OR142031</t>
  </si>
  <si>
    <t>.0007500885</t>
  </si>
  <si>
    <t>.0007500785</t>
  </si>
  <si>
    <t>.6137580050</t>
  </si>
  <si>
    <t>Заклепка 10*25 трубчатая (цена за 1шт)</t>
  </si>
  <si>
    <t>Заклепка 8*20 алюминиевая прямая (цена за 1 кг)</t>
  </si>
  <si>
    <t>.3818102616</t>
  </si>
  <si>
    <t>Зеркало заднего вида Сетра в сборе правое и левое    8688076000 +  8688075000</t>
  </si>
  <si>
    <t>Зеркало заднего вида Мерседес Туризмо п+л  черные   6138101116 +  6138101216</t>
  </si>
  <si>
    <t>Зеркало заднего вида Мерседес Туризмо п+л  серые    6138101116 + 6138101216</t>
  </si>
  <si>
    <t>v174089</t>
  </si>
  <si>
    <t>.3805402281</t>
  </si>
  <si>
    <t>Камера тормозная ,энергоаккумулятор T24/24DP M16*1.5 МБ Сетра Неоплан Ман 0174203818 85504106002 9253213000</t>
  </si>
  <si>
    <t>Камера тормозная , энергоаккумулятор тип KNORR BS8413 20/24 МБ Неоплан Сетра Travego 9254800190 9254800100</t>
  </si>
  <si>
    <t>.0134207718</t>
  </si>
  <si>
    <t xml:space="preserve">Камера блокировочная  100 мм Неоплан  KNORR BZ1400 NEOPLAN 11015169 NEOPLAN 080210700 Setra 82830290000  </t>
  </si>
  <si>
    <t>Камера тормозная энергоаккумулятор 27/24 MB 350/403  0114205218 0114205318</t>
  </si>
  <si>
    <t xml:space="preserve">Камера тормозная  энергоаккумулятор Мерседес 303/345/405 Ман Неоплан  Даф Скания Рено Ивеко   30*30  0104200318  </t>
  </si>
  <si>
    <t>.0203273000</t>
  </si>
  <si>
    <t>Клапан аварийного растормаживания Мерседес Вольво Даф Ман Ивеко Неоплан Бпв Eurotech 182.701.0 182.700.0</t>
  </si>
  <si>
    <t>.9735000000</t>
  </si>
  <si>
    <t>Клапан редукционный топлива 14X1,5 0000749984 0000747684 , 046468047</t>
  </si>
  <si>
    <t>.0000747684</t>
  </si>
  <si>
    <t xml:space="preserve">Клапан редукционный топлива 12X1,5 0000740384  0000747284   51125050008 1417413046 </t>
  </si>
  <si>
    <t>.0000740384</t>
  </si>
  <si>
    <t>Клапан редукционный топлива МБ Ман Вольво Рено Ивеко  0004770329  90816929667, 035096, 7035096, 79097353</t>
  </si>
  <si>
    <t>.0004770329</t>
  </si>
  <si>
    <t>Клапан редукционный топлива МБ 14X1.5 , 0000740515   51125050004  90816929683, 238041, 7238041, 768324,  0003017012</t>
  </si>
  <si>
    <t>.0000740515</t>
  </si>
  <si>
    <t>Клапан ускорительный релейный Мерседес Вольво Ман Неоплан Ивеко Даф Рено Фаун  М22/М16 *1,5 10 Bar Eurotech 100.100.0</t>
  </si>
  <si>
    <t>Клапан четырехконтурный защитный МБ / Ман / Даф / Ивеко / Вольво / Рено Wabco 9347022400 AE 4183 81521516037</t>
  </si>
  <si>
    <t>Клапан четырехконтурный защитный Мерседес Ман Даф Вольво Неоплан Рено Ивеко 9347020400</t>
  </si>
  <si>
    <t xml:space="preserve">Клапан защитный четырехконтурный Knorr АЕ 4615   134.207.0   1342070  </t>
  </si>
  <si>
    <t>AE4615</t>
  </si>
  <si>
    <t xml:space="preserve">Клапан четырехконтурный защитный Мерседес403/350 МБ Даф Ивеко Рено RVI Eurotech 125.205.0 9347022500, 0014318706 </t>
  </si>
  <si>
    <t>Клапан электромагнитный  24v М22*1,5  4721231090 Eurotech 328.201.0  0014310213  TF1800-01</t>
  </si>
  <si>
    <t>.0014310213</t>
  </si>
  <si>
    <t>Клапан управления тормозами Мерседес ОМ 305 0014314805  9730024020</t>
  </si>
  <si>
    <t xml:space="preserve">Насос подъема кабины Ман  81417236026  81417236103   81417239114   81417239059   81417236059  81417236026  </t>
  </si>
  <si>
    <t>Клапан крана уровня пола (обратный)10 бар МB 0003272125</t>
  </si>
  <si>
    <t>.0003272125</t>
  </si>
  <si>
    <t>Ключ форсунки длинный 4035890507</t>
  </si>
  <si>
    <t>Ключ форсунки короткий 4035890507</t>
  </si>
  <si>
    <t xml:space="preserve">Клавиша переключения  8-ми контактная </t>
  </si>
  <si>
    <t>.0055459224</t>
  </si>
  <si>
    <t>Колодка тормозная дисковая WVA 29747 Сетра / Даф  8284000209</t>
  </si>
  <si>
    <t>WVA29747</t>
  </si>
  <si>
    <t>Колодка тормозная дисковая WVA 29498 Сетра D-451 8284000146</t>
  </si>
  <si>
    <t>WVA29498</t>
  </si>
  <si>
    <t xml:space="preserve">Колодка тормозная дисковая WVA 29030  Мерседес 403/350/404 Сетра 315 Ман / Даф / Ивеко/ Скания/   81508226012  0024200810 </t>
  </si>
  <si>
    <t>WVA29030</t>
  </si>
  <si>
    <t xml:space="preserve">Колодка тормозная дисковая Мерседес / Ман / Сетра / Неоплан  Актрос WVA 29087 29045 29046 29059 29061 29087 29105 29106 </t>
  </si>
  <si>
    <t>WVA29087</t>
  </si>
  <si>
    <t>Колодка тормозная  стд   Ивеко  Мерседес  WVA 29835  WVA29835  WVA29122  WVA 29122  WVA29127  WVA 29127</t>
  </si>
  <si>
    <t>WVA29835</t>
  </si>
  <si>
    <t>Колодка тормозная дисковая задняя WVA 29124 / 29155 ROR РОР MERITOR Меритор WVA29124 WVA29155 15224835</t>
  </si>
  <si>
    <t>WVA29124</t>
  </si>
  <si>
    <t>Колодка тормозная Вольво WVA 29125 3095396  20768092</t>
  </si>
  <si>
    <t>WVA29125</t>
  </si>
  <si>
    <t>Колодка тормозная дисковая Ивеко 2901125004 WVA 29011</t>
  </si>
  <si>
    <t>WVA29011</t>
  </si>
  <si>
    <t>Колодка тормозная Рено Вольво  WVA29174  WVA 29174 WVA29218  WVA 29218  5001864363  5001864364</t>
  </si>
  <si>
    <t>WVA29174</t>
  </si>
  <si>
    <t>Колодка тормозная дисковая WVA 29090 Вольво Рено RVI Volvo B10 12  5001846034  WVA29090 249*114,44*28,3</t>
  </si>
  <si>
    <t>WVA29090</t>
  </si>
  <si>
    <t>Колодки тормозные 29165 K060273K50 0980107240 0980106430 0980106350 0980106210 0980102930 0509290050</t>
  </si>
  <si>
    <t>WVA29165</t>
  </si>
  <si>
    <t>WVA29171</t>
  </si>
  <si>
    <t>Колодки тормозные 29171 K011471K50 MDP3171K 0980107260 0980106950 0980106440 0536270630 0536270620 0536270711</t>
  </si>
  <si>
    <t>Кольца компрессора 90 мм. Мерседес МБ комплект на поршень 2.5*2,5*2,5*4   0817630000    0001316611</t>
  </si>
  <si>
    <t>. 0817630000</t>
  </si>
  <si>
    <t>Кольца компрессора 100мм 2.5*2.5*4 OM447 BUS345</t>
  </si>
  <si>
    <t>.0002521745</t>
  </si>
  <si>
    <t xml:space="preserve">Кольцо посадочное гильзы 128 0,40  </t>
  </si>
  <si>
    <t>Уплотнительная резинка гильзы 125 мм. толстая 0129977148</t>
  </si>
  <si>
    <t>. 0129977148</t>
  </si>
  <si>
    <t>Уплотнительная резинка гильзы 125 мм. Тонкая   0099978848, 0259978448</t>
  </si>
  <si>
    <t>.0099978848</t>
  </si>
  <si>
    <t>Уплотнительная резинка гильзы 128 мм. толстая</t>
  </si>
  <si>
    <t>Уплотнительная резинка гильзы 128 мм. тонкая  5196501052</t>
  </si>
  <si>
    <t>Уплотнительная резинка гильзы толстая 108 мм MAN D0826</t>
  </si>
  <si>
    <t>Шайба уплотнительная форсунки  9,5 X 20 X 1 МАН/МБ  3880170160   51987010065</t>
  </si>
  <si>
    <t>Корпус (картер) компрессора МБ ОМ407/427/447  4471310215, 40714300610  4471303715  4471310215</t>
  </si>
  <si>
    <t>Корпус масляного фильтра  Мерседес ОМ 403 ОМ 442LA OM402LA OM401LA  4421800111</t>
  </si>
  <si>
    <t>Корзина сцепления 420 мм SACHS 1882301239 МБ Сетра Неоплан МАН 0032507004  83831460000 81303059111 040110100</t>
  </si>
  <si>
    <t>.0032507004</t>
  </si>
  <si>
    <t xml:space="preserve">Корзина сцепления MFZ430 3482083032 11009971 500697757 1329549 1204205  81303050179  81303050158  81303050193 </t>
  </si>
  <si>
    <t xml:space="preserve">Корзина сцепления MFZ430 3482081231 1140539 0078544  0042506104  0052508404  0042504604  0042508704  83833430000 </t>
  </si>
  <si>
    <t>. 0042506104</t>
  </si>
  <si>
    <t>Кран влагоотделителя  в сборе 12.5 BAR/24V MB/DAF/NEOPLAN Eurotech 322.204.0 4324101110  4324100340</t>
  </si>
  <si>
    <t>Кран влагоотделителя  в сборе 8.1 Bar  МБ Маз Ман Неоплан Сетра 81521026023  110273400 8285407000 4324101040</t>
  </si>
  <si>
    <t>Кран влагоотделителя мерседес МБ Ман Ивеко Даф Неоплан Лиаз 5256 KNORR-BREMSE LA8200  (без фильтра) Eurotech 323.500.0</t>
  </si>
  <si>
    <t>Кран влагоотделителя 24V 9,8 Bar ДАФ без фильтра KNORR LA 8284   1351443</t>
  </si>
  <si>
    <t>Кран влагоотделителя осушителя 9.5 Bar Скания 4 series ДАФ Рено 1504936R 5021170074 4324100837 03.03.078 (без фильтра)</t>
  </si>
  <si>
    <t>Кран  влагоотделителя  10 бар Даф LA8132 LA 8132 K000392N00 1443155</t>
  </si>
  <si>
    <t>Кран влогоотделителя  Ивеко Ман 11 бар 4324100350</t>
  </si>
  <si>
    <t>Кран влагоотделителя  Мерседес МБ Ман Даф 10.5 бар 4324101170</t>
  </si>
  <si>
    <t>Кран влагоотделителя 13 Бар Ман Даф KNORR LA 8207 4324101150</t>
  </si>
  <si>
    <t xml:space="preserve">Кран влагоотделителя без фильтра ДАФ Ивеко Сетра 315 11 бар LA 8272 LA8272 II37257N00 4324100350 4488220 041017240 </t>
  </si>
  <si>
    <t>Кран влагоотделителя воздуха в сборе 8.1 Bar  МБ Маз Ман Неоплан Сетра 81521026023  110273400 8285407000 4324101040</t>
  </si>
  <si>
    <t>Кран влагоотделителя воздуха (без фильтра) Ивеко Мерседес МБ Ман Неоплан Вольво Рено Даф Скания 9.5 бар 4324100210</t>
  </si>
  <si>
    <t>Кран влагоотделителя воздуха (осушитель) 8,5 Бар Вольво 4324100920 20553336</t>
  </si>
  <si>
    <t>Кран влагоотделителя 10,5 бар Ман 4324101170   81521026151</t>
  </si>
  <si>
    <t>Кран  влагоотделителя (без фильтра) 12 бар Даф Вольво LA8286 LA 8286 1505966 4324100870</t>
  </si>
  <si>
    <t>Кран влагоотделителя  двойной Вольво Мерседес 0004318515 TF1060-1  4324311000</t>
  </si>
  <si>
    <t>Кран уровня пола Ман Икарус Cетра Вольво Лиаз  Скания SV 1294 МАН 81436106028  SV1294</t>
  </si>
  <si>
    <t>Кран уровня пола KNORR SV 1295  81436106061 426380 3038069 Ман Скания Вольво</t>
  </si>
  <si>
    <t>Кран уровня пола Мерседес 0003282030 6133280230 0003282525 СКАНИЯ 279771 бочка справа</t>
  </si>
  <si>
    <t>.0003282030</t>
  </si>
  <si>
    <t>Кран уровня пола Мерседес 0003282130 6133280130 0003282425 СКАНИЯ 279772 бочка слева</t>
  </si>
  <si>
    <t>. 0003282425</t>
  </si>
  <si>
    <t>Кран уровня пола Мерседес МБ / ДАФ / Рено / Ивеко Eurotech 167.514.0 SV1280 , 0003283230   SV1410</t>
  </si>
  <si>
    <t>. 0003283230</t>
  </si>
  <si>
    <t xml:space="preserve"> Кран уровня пола Мерседес SV1281   0003283330</t>
  </si>
  <si>
    <t>.0003283330</t>
  </si>
  <si>
    <t>Кран уровня пола SV 1325  81436106081 81436106128  06.02.034  II18033</t>
  </si>
  <si>
    <t>Кран уровня пола SV 1307 Eurotech 167.512.2 БПВ Даф Вольво Ивеко 1576736 0638057 61260925 SG0959 933492 4640023307</t>
  </si>
  <si>
    <t>Кран уровня пола SV 1310 8285011000 Мерседес МАН ДАФ Вольво Ивеко Скания Неоплан Рено VAN HOOL SAF BPW</t>
  </si>
  <si>
    <t>Кран уровня пола SV 1318 Неоплан 8285086000 11018608</t>
  </si>
  <si>
    <t>Кран уровня пола Ман МБ KNORR-BREMSE original SV 1350 81436109092 81436106092</t>
  </si>
  <si>
    <t>Кран уровня пола SV 1369 МАН   81436106101</t>
  </si>
  <si>
    <t>Кран уровня пола Ман Неоплан 81436106033 81436106054</t>
  </si>
  <si>
    <t>Кран уровня пола в сборе с тягой SV 1395 SV1470 МАЗ МАН Вольво Ивеко Рено Van HOOL Даф Неоплан BPW SAF 4640060020</t>
  </si>
  <si>
    <t>Кран уровня пола SV 1370 Ман  81436106100</t>
  </si>
  <si>
    <t>Кран уровня пола Рено RVI  Ивеко 4853325  5010260213  4640060010</t>
  </si>
  <si>
    <t>Кран уровня пола 4640070020 Даф Вольво Рено 1505082 8141934 5021170190</t>
  </si>
  <si>
    <t>Кран уровня пола МБ МАН Ивеко ДАФ SV 1410 4640061007 4640070020 8285499000</t>
  </si>
  <si>
    <t>Кран уровня пола - электр. регулятор подвески ECAS МБ МАН Ивеко Рено Даф 4410500120</t>
  </si>
  <si>
    <t>Кран уровня пола - электр. регулятор подвески ECAS Рено Ивеко 4410500130 5010260969</t>
  </si>
  <si>
    <t>Кран уровня пола- электр.датчик высоты ECAS Даф Рено RVI 4410501000 5010422344 1365935</t>
  </si>
  <si>
    <t>Кран уровня пола - электр. регулятор подвески ECAS Ман МБ Неоплан Ивеко Скания Рено 11016524 4410500110 S2000 4410500110</t>
  </si>
  <si>
    <t>Кран уровня пола Скания SV1303 SV 1303 322368 1314296 699525 1380814</t>
  </si>
  <si>
    <t>Кран уровня пола Скания 1118884   FEBI 05152</t>
  </si>
  <si>
    <t>Кран ручного тормоза МБ ДАФ НЕОПЛАН Eurotech 249.300.0    9617222520</t>
  </si>
  <si>
    <t>Кран тормозной ножной Мерседес Вольво Скания Ивеко Eurotech 205.100.0   4613150080</t>
  </si>
  <si>
    <t>Кран ручного тормоза Мерседес MB403/350 Сетра Неоплан Даф Ивеко1524297 42021814 112232900 9617222580   0034306081</t>
  </si>
  <si>
    <t>. 0034306081</t>
  </si>
  <si>
    <t>Кран ручного тормоза Ман Даф Рено Неоплан 9617222690  1519251  249303</t>
  </si>
  <si>
    <t>Кран ручного тормоза MB 302/303/305/405/330 Eurotech 249.302.0 9617222640 0014305281   0014303281</t>
  </si>
  <si>
    <t>. 0014303281</t>
  </si>
  <si>
    <t xml:space="preserve">Кран ручного тормоза Ман Даф Рено Неоплан 9617222620  1519251  249318 1519251 81523156086 81523156090 81523156122 </t>
  </si>
  <si>
    <t>Клапан управления тормозами Мерседес Даф рено Ивеко 9730025200</t>
  </si>
  <si>
    <t>Кран тормозной ножной МБ Conecto 345 350/403 Eurotech 205.101.0 4613155010 4613150120  0044310505</t>
  </si>
  <si>
    <t>. 0044310505</t>
  </si>
  <si>
    <t>Кран тормозной 2051040 4613150040 MB 0024315405</t>
  </si>
  <si>
    <t>. 0024315405</t>
  </si>
  <si>
    <t xml:space="preserve">Кран тормозной ножной DAF 092075 1518060 365796 92075 Iveco 4783981 MAN 85500014354 MAN 99100360073 0014318305 </t>
  </si>
  <si>
    <t xml:space="preserve">.0014318305 </t>
  </si>
  <si>
    <t>Кран тормозной  2051110 4613154820</t>
  </si>
  <si>
    <t>Кран тормозной ножной МБ/Скания/Вольво/Даф Eurotech 205.113.0 4613150360</t>
  </si>
  <si>
    <t>Кран ручного тормоза 2553000 9617230010</t>
  </si>
  <si>
    <t>Кран ручного тормоза МБ Ман Сетра Даф Ивека Eurotech 255.304.0 9617231020</t>
  </si>
  <si>
    <t>Клапан защитный четырехконтурный KNORR AE4603 4603 134.204.0 Volvo 3197585 3197858 3197585; II36011000; AE4603</t>
  </si>
  <si>
    <t>Клапан защитный четырехконтурный KNORR AE4612 4612 134.201.0</t>
  </si>
  <si>
    <t>Кран уровня пола 1675050 SV1362</t>
  </si>
  <si>
    <t>Кран уровня пола 1675060 SV1412  передний</t>
  </si>
  <si>
    <t>SV1412</t>
  </si>
  <si>
    <t>Кран уровня пола 1675070 SV1288  передний</t>
  </si>
  <si>
    <t>SV1288</t>
  </si>
  <si>
    <t>v120314</t>
  </si>
  <si>
    <t>Кран уровня пола Вольво Даф 4640060000 1607728</t>
  </si>
  <si>
    <t>Кран уровня пола 1685020 4640060020</t>
  </si>
  <si>
    <t>Кран уровня пола 1685030 4640061000</t>
  </si>
  <si>
    <t>Кран - регулятор тормозных сил 1574030 4757145000</t>
  </si>
  <si>
    <t>Кран уровня пола Travego, Setra 4-series 0003284930 0003284630 612048111 KN27000</t>
  </si>
  <si>
    <t>.0003284630</t>
  </si>
  <si>
    <t>Кран - регулятор положения кабины 1705030 4640070100</t>
  </si>
  <si>
    <t xml:space="preserve">Клапан ускорительный релейный Мерседес Вольво Ман Неоплан Ивеко Даф Рено Фаун М22 *1,5 8 Bar Eurotech 100.101.0 9730010200 </t>
  </si>
  <si>
    <t>Клапан ускорительный релейный МБ МАН Сетра Неоплан Eurotech 102.103.0    4730120040</t>
  </si>
  <si>
    <t>Клапан ускорительный  МБ 403/350 МАН Скания Eurotech 110.100.0 9730110010 0044293844  0034299444  0034299544</t>
  </si>
  <si>
    <t>.0034299544</t>
  </si>
  <si>
    <t>1100.101</t>
  </si>
  <si>
    <t>Клапан управления дверной МБ МАН Eurotech 1100.101.0    4520030020</t>
  </si>
  <si>
    <t>Клапан ускорительный релейный МБ Ман ДАФ Сетра Eurotech 118.102.0  9730060030</t>
  </si>
  <si>
    <t>Клапан ограничения давления 0034294444  4750100110 07123010 81521016084 81521016086 81521806013  81521016056</t>
  </si>
  <si>
    <t>Педаль тормоза МБ Неоплан Сетра Даф МАЗ Eurotech 218.100.0 wabco 4613170000</t>
  </si>
  <si>
    <t>.0003200658</t>
  </si>
  <si>
    <t>Ремкомплект электромагнитного клапана МБ МАН Сетра Неоплан Eurotech 234.210.2  0033276325  8241999870 4729000042</t>
  </si>
  <si>
    <t>Кран влагоотделителя 9.5 бар Неоплан Мерседес Вольво Eurotech 322.200.0 (без фильтра)</t>
  </si>
  <si>
    <t>Ремкомплект крана влагоотделителя МБ МАН ДАФ Неоплан Рено 4324100002 81521026031 0014308360 110273109</t>
  </si>
  <si>
    <t>.0014308360</t>
  </si>
  <si>
    <t>.0014315615</t>
  </si>
  <si>
    <t>Кран влагоотделителя в сборе 13BAR/24V MB/DAF/NEOPLAN   Мерседес 403/350/405 Неоплан  4324210000 0014311115 0004319415  110273401</t>
  </si>
  <si>
    <t>Кран влагоотделителя в сборе 8.1 Bar  МБ Маз Ман Неоплан Сетра 81521026023  110273400 8285407000 4324101040</t>
  </si>
  <si>
    <t>Ремкомплект осушителя ЛИАЗ-5292 ZB4407 K005530 RK.03.024 Eurotech 339.401.2</t>
  </si>
  <si>
    <t>Клапан электромагнитный МБ Сетра Ман Даф Eurotech 328.202.0 82855460000   0009970712   4721726000</t>
  </si>
  <si>
    <t>.0009970712</t>
  </si>
  <si>
    <t>Клапан защитный многоконтурный воздушный  3272060 9347050020</t>
  </si>
  <si>
    <t>Клапан открывания двери электромагнитный Мерседес МБ Ман Даф Рено Вольво Неоплан Eurotech 512.200.0  0007631056  0007600378</t>
  </si>
  <si>
    <t>.0007631056</t>
  </si>
  <si>
    <t>Ремкомплект крана открывания двери Мерседес  МБ / Ман / Даф Eurotech 512.200.0   0007600478</t>
  </si>
  <si>
    <t>.0007600478</t>
  </si>
  <si>
    <t xml:space="preserve"> Клапан открывания дверей Неоплан Сетра Eurotech 514.200.0    0481500101</t>
  </si>
  <si>
    <t>.0481500101</t>
  </si>
  <si>
    <t>Клапан управления делителем КПП ZF 0501208629 1374723  42534677</t>
  </si>
  <si>
    <t>1100.100</t>
  </si>
  <si>
    <t>Клапан управления дверной МБ Ман Сетра Eurotech 1100.100.0 0007601757  0007601457  9520030300</t>
  </si>
  <si>
    <t>.0007601457</t>
  </si>
  <si>
    <t>Насос ручной подкачки МБ 51121507017  0000912190   0440011007</t>
  </si>
  <si>
    <t>. 0000912190</t>
  </si>
  <si>
    <t>Насос ручной подкачки МБ/MАН 51127507018 81121506012 81121506013 81121509001 81121509003 нового образца WABCO 4341002200</t>
  </si>
  <si>
    <t>Насос топливоподкачивающий MB SK/MK 0000907350 DT  4.62714 Eurotech  1200.300.0</t>
  </si>
  <si>
    <t>. 0000907350</t>
  </si>
  <si>
    <t>Ремкомплект суппорта CMSK.1 MB 350/403 MAN F2000 CMSK.1,MERITOR :MCK1213 Eurotech 1500.466.2  0004200676</t>
  </si>
  <si>
    <t>.0004200676</t>
  </si>
  <si>
    <t>. 0004202382</t>
  </si>
  <si>
    <t xml:space="preserve">Ремкомплект суппорта 69 мм МБ МАН ЛИАЗ-5292 K001300 K010603 K000366  0004204082 0004204982 81508226020 81508226031 1622785 </t>
  </si>
  <si>
    <t>.0004200682</t>
  </si>
  <si>
    <t xml:space="preserve">Ремкомплект суппорта 74мм K000944 K010604  0004203982 81508226007 81508226022 81508226032 1743421 </t>
  </si>
  <si>
    <t>1500.109.2</t>
  </si>
  <si>
    <t xml:space="preserve"> Ремкомплект суппорта Неоплан Ман Мерседес II328090062  11014055  0501210655 11014051 0501210657 11014060 0501210169 11014053 </t>
  </si>
  <si>
    <t>1500.110.2</t>
  </si>
  <si>
    <t>Ремкомплект суппорта MAN TGA/TGS/TGX SL/SG/SU/UL/RH Lion's CMSK23 MCK1103 CMSK.23  Eurotech 1500.408.2 MAN 81508026022</t>
  </si>
  <si>
    <t>1500.111.2</t>
  </si>
  <si>
    <t>Ремкомплект суппорта Setra 315/415 Neoplan 316 Travego HD K000472 CKSK.3.2 ЛИАЗ 5292 Eurotech 1500.111.2 81508226019 0004203482</t>
  </si>
  <si>
    <t>.0004203482</t>
  </si>
  <si>
    <t>1500.200.2</t>
  </si>
  <si>
    <t>Ремкомплект суппорта-цепь суппорта длинная Eurotech 1500.200.2</t>
  </si>
  <si>
    <t>Ремкомплект суппорта цепь суппорта короткая CKSK.11 KNORR SB6/7 МБ МАН Лиаз-5292 Tracktehnic Eurotech 1500.201.2</t>
  </si>
  <si>
    <t>1500.201.2</t>
  </si>
  <si>
    <t>Ремкомплект суппорта болт суппорта KNORR SB5/SN5 SB6/SB7 SN6/SN7 Tracktehnic Eurotech 1500.214.2</t>
  </si>
  <si>
    <t>1500.214.2</t>
  </si>
  <si>
    <t>Ремкомплект суппорта подшипник игольчатый CKSK.14.1 Eurotech 1500.215.2</t>
  </si>
  <si>
    <t>1500.212.2</t>
  </si>
  <si>
    <t>Ремкомплект суппорта трещетка суппорта CKSK10.1 МБ МАН ЛИАЗ-5292 Tracknehnic Eurotech 1500.212.2</t>
  </si>
  <si>
    <t>Ремкомплект суппорта,механизм суппорта Eurotech 1500.211.2</t>
  </si>
  <si>
    <t>1500.211.2</t>
  </si>
  <si>
    <t>Ремкомплект суппорта трещетка суппорта Eurotech 1500.213.2</t>
  </si>
  <si>
    <t>1500.213.2</t>
  </si>
  <si>
    <t>Ремкомплект суппорта механизм суппорта МБ МАН ЛИАЗ-5292 CKSK10.4 Tracktehnic Eurotech 1500.210.0</t>
  </si>
  <si>
    <t>1500.210.2</t>
  </si>
  <si>
    <t>Ремкомплект суппорта MAN TGA/TGS/TGX SL/SG/SU/UL/RH Lion's CMSK23 MCK1103 CMSK.23  Eurotech 1500.408.2 MAN    81508026022</t>
  </si>
  <si>
    <t>Ремкомплект суппорта задний левый МБ 350/403/404 MB 0004232181 Eurotech 1500.460.2</t>
  </si>
  <si>
    <t>1500.460.2</t>
  </si>
  <si>
    <t>1500.461.2</t>
  </si>
  <si>
    <t>1500.462.2</t>
  </si>
  <si>
    <t>1500.463.2</t>
  </si>
  <si>
    <t>Ремкомплект суппорта задний правый МБ 350/403/404 MB 0004232281 Eurotech 1500.461.2</t>
  </si>
  <si>
    <t>Ремкомплект суппорта передний левый МБ 350/403/404 MB 0004213081 Eurotech 1500.462.2</t>
  </si>
  <si>
    <t>Ремкомплект суппорта передний правый МБ 350/403/404 MB 0004213081 Eurotech 1500.463.2</t>
  </si>
  <si>
    <t>Пневмогидроусилитель ПГУ МАН ДАФ Ивеко Неоплан Ивеко D 80.5 9700511110 81307256014 Eurotech 400.100.0   9700511110</t>
  </si>
  <si>
    <t xml:space="preserve"> Пневмогидроусилитель ПГУ D=80.5 Неоплан Ман Даф Ивеко Лиаз Eurotech 400.101.0    9700511140</t>
  </si>
  <si>
    <t>Пневмогидроусилитель Неоплан 116/122 Eurotech 402.107.0 Ман Даф Сетра Паз 1506459    TF2576-01    9700511630</t>
  </si>
  <si>
    <t>Пневмогидроусилитель ПГУ VG 3200 Eurotech 403.100.0 МБ Ман Неоплан ПАЗ ЛИАЗ</t>
  </si>
  <si>
    <t>Пневмогидроусилитель ПГУ Ивеко Рено Даф   5000787875 Eurotech 402.100.0   9700511240</t>
  </si>
  <si>
    <t>VG3200</t>
  </si>
  <si>
    <t>Пневмогидроусилитель Knorr VG 3213 Eurotech 404.101.0</t>
  </si>
  <si>
    <t>VG3213</t>
  </si>
  <si>
    <t>Пневмогидроусилитель ПГУ Мерседес МБ ДАФ Сетра SV1018 Eurotech 405.100.0 0012956707  9700511310</t>
  </si>
  <si>
    <t>Пневмогидроусилитель ПГУ МАН Мерседес ДАФ Eurotech 411.103.0     9700514120</t>
  </si>
  <si>
    <t>Пневмогидроусилитель ПГУ Мерседес TRAVEGO МБ Ман Сетра Неоплан Eurotech 411.104.0 9700514410   0002540447  0002540047</t>
  </si>
  <si>
    <t>.0002540447</t>
  </si>
  <si>
    <t>Пневмогидроусилитель ПГУ RENAULT Eurotech 411.105.0 5010244109 5001837139 5010244401 9700514027  9700514020  SG9032</t>
  </si>
  <si>
    <t>Пневмогидроусилитель ПГУ МБ Travego Сетра 415 ДАФ  Eurotech 411.102 0002540047  0002541247   9700514310</t>
  </si>
  <si>
    <t>. 0002541247</t>
  </si>
  <si>
    <t>Пневмогидроусилитель ПГУ Сетра 315 МБ Неоплан D=100mm MB  0002570079 9700514147 9700514240   9700514250 Eurotech 411.109.0</t>
  </si>
  <si>
    <t>. 000257007</t>
  </si>
  <si>
    <t>Цилиндр сцепления главный МАН/МБ/Cетра A0002956706 0012955506 81307156051 KG3401.0.2  (на трех болтах) S-5307</t>
  </si>
  <si>
    <t>Цилиндр сцепления рабочий Bus/Truck Мерседес 0022950407 0012950307 0012955307 S 6197 Сетра 8383221000 8383290000</t>
  </si>
  <si>
    <t>Цилиндр сцепления МБ 303,304,305,403,404,405,350 Сетра Bus/ МБ Truck главный  S-5185 Neoplan N116, N122, N316, N516 (Euro II)</t>
  </si>
  <si>
    <t>Главный цилиндр сцепления Сетра S 5054    8282211000</t>
  </si>
  <si>
    <t>Цилиндр сцепления Ман рабочий усиленный 81307166044   S-6207 /  S-6157</t>
  </si>
  <si>
    <t>Кран тормозной ножной Мерседес Ман ДАФ Вольво Ивеко Неоплан Ванхул   4613074790</t>
  </si>
  <si>
    <t>Глушитель шума осушителя МБ МАН Сетра Неоплан ДАФ Eurotech 805.100.2   4324070600</t>
  </si>
  <si>
    <t>Глушитель шума осушителя МБ МАН Вольво ДАФ Ивеко Eurotech 805.101.2   4324070700</t>
  </si>
  <si>
    <t>Глушитель шума осушителя МБ МАН Сетра Неоплан Eurotech 805.103.2   4324070180</t>
  </si>
  <si>
    <t xml:space="preserve">Ремкомплект тормозной трещетки Мерседес MB МБ  ,МАН 0004200092 universal 81506106132 0004200092 1350817 324728 324729 3091286 </t>
  </si>
  <si>
    <t>. 0004200092</t>
  </si>
  <si>
    <t>.0207002</t>
  </si>
  <si>
    <t>Пневмогидроусилитель ПГУ КРАЗ ЛАЗ ЛИАЗ 02.07.002     11.1602410-20</t>
  </si>
  <si>
    <t>11.1602410-20</t>
  </si>
  <si>
    <t>Клапан перепускной МБ/Неоплан/МАН 350/403/404 Eurotech 500.108.0 11017359  81521106087 4341002270   0024290344</t>
  </si>
  <si>
    <t>. 0024290344</t>
  </si>
  <si>
    <t>Пневмогидроусилитель ПГУ Мерседес 350/403/345 МБ ДАФ Eurotech 408.100.0 9700511580 0002950618    0002951518</t>
  </si>
  <si>
    <t>.0002951518</t>
  </si>
  <si>
    <t>Пневмогидроусилитель ПГУ Ман Даф 9700511570 81307256053   VG3208</t>
  </si>
  <si>
    <t>Стойка стабилизатора заднего L= 200 мм Travego  Сетра Мерседес 6293200189 6283201489 6323200532 6323200232</t>
  </si>
  <si>
    <t>96MR05274</t>
  </si>
  <si>
    <t>Стабилизатор задний TRAVEGO A6293260165    11273</t>
  </si>
  <si>
    <t>Стабилизатор Неоплан MN1004 OEM MAN   81437150091</t>
  </si>
  <si>
    <t>Стабилизатор МБ Travego580 Tourismo Integro Intouro SETRA415/417 MB  6293230665  6293230365</t>
  </si>
  <si>
    <t>Клапан электромагнитный,модулятор ABS  BR9152 MB 0044296044 Setra MB 303/403/405/345 0044295944</t>
  </si>
  <si>
    <t>.0044295944</t>
  </si>
  <si>
    <t>.0504003001000</t>
  </si>
  <si>
    <t xml:space="preserve">Цилиндр регулировки КУП MB Irizar Tourismo Travego Setra 2-3-4-Series 0504003001000 1194465 97105665 99444041 0003277625 </t>
  </si>
  <si>
    <t xml:space="preserve">.0003277625 </t>
  </si>
  <si>
    <t>Коленвал ОМ 441/A/LA V6 CYL 4410302101 4410301701 4410301601 4410300001</t>
  </si>
  <si>
    <t>Коленвал OM 401 LA  4010302301 4010302501  20050340111</t>
  </si>
  <si>
    <t>Клапан открывания дверей соленоид Мерседес Ман Ивеко Неоплан 4720023010   0007630552</t>
  </si>
  <si>
    <t>. 0007630552</t>
  </si>
  <si>
    <t>Клапан открывания дверей соленоид Мерседес Ман Неоплан Ивеко Ванхул 4720023020    0007630952</t>
  </si>
  <si>
    <t>. 0007630952</t>
  </si>
  <si>
    <t>Кран ручного подъема прицепа Мерседес МБ / МАН/ Даф/ Вольво/ Ивеко / RVI / BPW 4630320200    0003275125</t>
  </si>
  <si>
    <t>.0003275125</t>
  </si>
  <si>
    <t>Кран уровня пола - электр. регулятор подвески ECAS МБ Ман Даф Вольво Скания Рено 4410500080 5010096485 0105427817 81259370010</t>
  </si>
  <si>
    <t>Крестовина 44Х149, 264043 CEI 198534 SCANIA 264043</t>
  </si>
  <si>
    <t xml:space="preserve"> Крестовина 48Х116 MAN/MB/SETRA/IVECO    81392006011</t>
  </si>
  <si>
    <t>Крестовина 48*126, 3814100231, 3854100531    9734100031</t>
  </si>
  <si>
    <t xml:space="preserve">Крестовина кардана SCANIA, Neoplan  48х161 09893 / 115019 / 8340360001 / 365913 / 0294383 / 0337059 / 0365901 / 0365913 / 294383 </t>
  </si>
  <si>
    <t>Крестовина 52х133 DAF/MB/IVECO, 3354100031,  81392006021</t>
  </si>
  <si>
    <t>Крестовина 52х147 МАН/МБ Iveco, DAF, MAN 93192012, 42533410, 1850097, 81364156039, 81391266020, 81391266030 81391266020</t>
  </si>
  <si>
    <t>Крестовина 53х135 MAN/MB V6/V8 , 0004101628</t>
  </si>
  <si>
    <t>.0004101628</t>
  </si>
  <si>
    <t>Крестовина КПП MAN диаметр фланца 47*58*58 мм. 81326106070</t>
  </si>
  <si>
    <t>Крестовина КПП MB диаметр фланца 65 мм 1151601 11516 01  0002681889</t>
  </si>
  <si>
    <t>.0002681889</t>
  </si>
  <si>
    <t>Коленвал компрессора Bus/Truck А4031311016 4031311316 4031301645 0001321410 4031311216 4031311316 4031300214 4031300114</t>
  </si>
  <si>
    <t>Коленвал компрессора Bus/Truck Ман Мерседес 90мм 4471300014   4031300214  4031310716</t>
  </si>
  <si>
    <t>Коленвал компрессора 1-цил. MB OM447A/H/HA/LA/HLA 100mm    4471300014</t>
  </si>
  <si>
    <t>Коленвал компрессора 100мм EURO1 BUS 345 4031300214   4471300014</t>
  </si>
  <si>
    <t>Крыльчатка  вентилятора радиатора- главного МБ350/403 Сетра 415/419 INTEGRO BEHR HELLA 8MV376758231 0032054006</t>
  </si>
  <si>
    <t>.0032054006</t>
  </si>
  <si>
    <t>Крыльчатка вентилятора Setra 315 HD, HDH/2 (d146 mm/D680 mm) 0032052906   83511990000</t>
  </si>
  <si>
    <t>Плита компрессора с прокладками 90 мм МБ   4421300720</t>
  </si>
  <si>
    <t>Плита компрессора с прокладками d=100мм MB350/403 4411300220   4411300020</t>
  </si>
  <si>
    <t>Плита компрессора с прокладками 100mm ОМ447H/HLA  4421301120  20080344701</t>
  </si>
  <si>
    <t>Пневмобаллон в сборе KG48382NC Conti 4838 NP02 (со стаканом) 344838-2C</t>
  </si>
  <si>
    <t xml:space="preserve"> KG48382NC</t>
  </si>
  <si>
    <t>Пневмобаллон KG450-25NN MB 403/350 6133270101 3563270201 3563270001</t>
  </si>
  <si>
    <t>KG450-25NN</t>
  </si>
  <si>
    <t xml:space="preserve">Пневмобаллон CONTITECH 727N MAN  Мерседес  MB  VOLVO  VAN HOOL  SHMITZ Даф  1R2D460360  W010950191  8117  1F32A  </t>
  </si>
  <si>
    <t xml:space="preserve">Пневмобаллон CONTITECH 701N  IKARUS  LIAZ Икарус  Лиаз  B510040  </t>
  </si>
  <si>
    <t>701N</t>
  </si>
  <si>
    <t xml:space="preserve">Пневмобаллон 0003270101 CONTITECH 644N Мерседес MB  MAN  VOLVO NEOPLAN  DAF  BPW  1R1A390295    1E21  PNP301470101  D11S01  </t>
  </si>
  <si>
    <t xml:space="preserve">. 0003270101 </t>
  </si>
  <si>
    <t>Пневмобаллон 661N 661 1R1C390310 D12S02 1E251S31028 P10661R</t>
  </si>
  <si>
    <t>661N</t>
  </si>
  <si>
    <t xml:space="preserve">Пневмобаллон 673N Ивеко Даф Вольво Ванхул Мерседес  Kraftiger Германият1R1A370285  W010950198   9051  1F21A  1SC28522  88786 </t>
  </si>
  <si>
    <t xml:space="preserve">Пневмобаллон 706N  3563230200 Ман 81436010096  81436010098  81436010101  81436010127  81436010139   </t>
  </si>
  <si>
    <t xml:space="preserve">Пневмобаллон 715N Даф Рено Ивеко Ман Мерседес Вольво Магирус  Kraftiger Германия  1R1C335310  W010950087   8015 1F25 </t>
  </si>
  <si>
    <t xml:space="preserve">Пневмобаллон 720N  Ман Мерседес  Неоплан  Вольво  БРВ  BPW  Kraftiger Германия  1R2A460295  W010950195  9008  1F21  PNP301000100 </t>
  </si>
  <si>
    <t xml:space="preserve">Пневмобаллон 762N Даф Сетра Ман Мерседес Неоплан Ванхул   Kraftiger Германия 1R2D390360   W010950190   9010   1F32  PNP307800100 </t>
  </si>
  <si>
    <t>Пневмобаллон 819N Мерседес Kraftiger Германия  0003280101</t>
  </si>
  <si>
    <t>. 0003280101</t>
  </si>
  <si>
    <t xml:space="preserve">Пневмобаллон 884N  Ман Мерседес Рено Ивеко Kraftiger Германия  9002   1F20A  1SC27025   97043   BL249  5010294385  5000301452   </t>
  </si>
  <si>
    <t xml:space="preserve">Пневмобаллон 916N   Ман  Kraftiger Германия  9015   1F21C5   D12S05   B154   81436010095   81436010097   81436010100   81436010102   </t>
  </si>
  <si>
    <t>Пневмобаллон Вольво   927N  1R1J415285   W010950244   8037   2E18B   PNP300080100   B179   611986/12  AAU2542  3116354</t>
  </si>
  <si>
    <t>.0220024600</t>
  </si>
  <si>
    <t xml:space="preserve">Пневмобаллон 662N Ман Неоплан Даф  БПВ  BPW  KRAFTIGER  1R1D355355   W010950207   9007  1E32  D13S01  PNP302730101  1SC36030   </t>
  </si>
  <si>
    <t>Поводок стеклоочистителя левый + правый в сборе МБ 303 (двойное стекло)  0008204344</t>
  </si>
  <si>
    <t>.0008204344</t>
  </si>
  <si>
    <t>Поводок стеклоочистителя МБ Сетра левый  0008207444</t>
  </si>
  <si>
    <t>.0008207444</t>
  </si>
  <si>
    <t>Поводок стеклоочистителя правый  МБ 304 Сетра 0008207544</t>
  </si>
  <si>
    <t>.0008207544</t>
  </si>
  <si>
    <t>Поводок стеклоочистителя МБ 403 правый  0018202344</t>
  </si>
  <si>
    <t>.0018202344</t>
  </si>
  <si>
    <t>Поводок стеклоочистителя МБ 403 левый   0018202244</t>
  </si>
  <si>
    <t>.0018202244</t>
  </si>
  <si>
    <t>Поводок стеклоочистителя справа МАН Неоплан 83264306006 84264300004 81264106098</t>
  </si>
  <si>
    <t>Поводок стеклоочистителя слева МАН Неоплан 83264306005 84264300005  81264300099</t>
  </si>
  <si>
    <t>Подголовник длинный  (50шт в комп-те)  цвета в ассортименте</t>
  </si>
  <si>
    <t>Подголовник короткий  (50шт в комп-те)  цвета в ассортименте</t>
  </si>
  <si>
    <t>Подшипник флянец  компрессора 100мм со стороны привода BUS 345  51930200335</t>
  </si>
  <si>
    <t>Подшипник передней ступицы колеса наружный 33210 МБ 303/403/350 МАН   0019817605</t>
  </si>
  <si>
    <t>. 0019817605</t>
  </si>
  <si>
    <t>Подшипник передней ступицы 528983 , 331933, МБ / МАН / ДАФ   0049813905</t>
  </si>
  <si>
    <t>. 0049813905</t>
  </si>
  <si>
    <t>Подшипник 32010 5000392236 5000391585 Q66912910000 0099816005 0099814105 0069814505  0029811205</t>
  </si>
  <si>
    <t>. 0029811205</t>
  </si>
  <si>
    <t>Подшипник задней ступицы 110x165x35 JM 822049 / JM 822010 ZF  0750117314</t>
  </si>
  <si>
    <t>. 0750117314</t>
  </si>
  <si>
    <t>Подшипник 30217 задней ступицы наруж. Сетра 000720030217</t>
  </si>
  <si>
    <t>.000720030217</t>
  </si>
  <si>
    <t>Подшипник ступицы колеса задний МБ / Ман/ Сетра / Скания / Вольво / Татра 30219, 6691130500</t>
  </si>
  <si>
    <t>Подшипник ступицы колеса Ман 32018  06324890051</t>
  </si>
  <si>
    <t>. 06324890051</t>
  </si>
  <si>
    <t>Подшипник ступицы МБ / Ман/ Рено 32019  0019802602</t>
  </si>
  <si>
    <t>.0019802602</t>
  </si>
  <si>
    <t>Подшипник ступицы колеса FAG 32309 100х45х38 Сетра Вольво Скания Неоплан  Ман Neoplan 11053432 ZF 0750117524</t>
  </si>
  <si>
    <t>.0750117524</t>
  </si>
  <si>
    <t>Подшипник передней ступицы наружный МБ 403/350 32310 0069819905 0019812905 0019817605   0019817405</t>
  </si>
  <si>
    <t>.0019817405</t>
  </si>
  <si>
    <t xml:space="preserve">Подшипник ступицы колеса  81324990003  KOYOTO 32213 </t>
  </si>
  <si>
    <t>Подшипник ступицы колеса Мерседес МБ / Ман BC1B326120   06326090065 , FAG575687 VKT8875    98170074</t>
  </si>
  <si>
    <t xml:space="preserve">.06326090065 </t>
  </si>
  <si>
    <t>Подшипник ступицы колеса МБ / Ман / Даф 33019 19160   0029819005</t>
  </si>
  <si>
    <t>. 0029819005</t>
  </si>
  <si>
    <t>Подшипник ступицы колеса МБ / Ман. Неоплан 0750117340 33021 , 0059814905</t>
  </si>
  <si>
    <t>.0059814905</t>
  </si>
  <si>
    <t xml:space="preserve">Подшипник ступицы колеса 50.8х100х35 МБ / SAF 33211 110500247190 0049816705 0750117010 98530054 1423320 1526724 42492259 </t>
  </si>
  <si>
    <t xml:space="preserve">.0049816705 </t>
  </si>
  <si>
    <t>Подшипник хвостовика МB 403/350 BPW / SAF 31313 (30313) , 4200001600 , 0264026500</t>
  </si>
  <si>
    <t>.0264026500</t>
  </si>
  <si>
    <t>Подшипник ступицы колеса Неоплан 116 / Сетра / Ивеко/ MAH/ Рено / Мерседес 0039812505 VKHB2160 32021X 32021 0750117336</t>
  </si>
  <si>
    <t>.0750117336</t>
  </si>
  <si>
    <t>Подшипник задней ступицы колеса 150x100х39 YKS FAG 33020 Мерседес 403/350 Ман Даф Ивеко 0149813205</t>
  </si>
  <si>
    <t>.0149813205</t>
  </si>
  <si>
    <t>Подшипник ступицы 33113 Ман Мерседес  Ивеко  SAF  33113 566968  06324990108   06244990036  4200005500</t>
  </si>
  <si>
    <t xml:space="preserve">. 06324990108 </t>
  </si>
  <si>
    <t>Подшипник ступицы колеса Мерседес МБ / Ман BC1B326120 06326090065 , FAG575687 VKT8875 98170074</t>
  </si>
  <si>
    <t>Подшипник ступицы колеса Даф / Скания / Вольво / Рено 33018 , 518930, 11.050.0247.730</t>
  </si>
  <si>
    <t>Подшипник ступицы колеса FEBI 18106 ARB 534565 33233 Неоплан 260532000 ZF   0750117516 11053434</t>
  </si>
  <si>
    <t>. 0750117516</t>
  </si>
  <si>
    <t>Подшипник задней ступицы колеса FAG 33117 140х85х41 Мерседес 303 / 404 / 350 . Рено Магнум груз / тягач   0059818305</t>
  </si>
  <si>
    <t>.0059818305</t>
  </si>
  <si>
    <t>.0750115338</t>
  </si>
  <si>
    <t>Подшипник редуктора Сетра 315 FAG 32316 80х170х61.5</t>
  </si>
  <si>
    <t xml:space="preserve">Подшипник редуктора 69*170*41  0750117337 </t>
  </si>
  <si>
    <t>.0750117337</t>
  </si>
  <si>
    <t>Подшипник редуктора Сетра 315 Неоплан 116/516 0750117339 576376 (JHM 720249 720210)  DF 0658448</t>
  </si>
  <si>
    <t>.0750117339</t>
  </si>
  <si>
    <t>.06326090065</t>
  </si>
  <si>
    <t>Подшипник редуктора заднего моста Неоплан Сетра Скания VKT8500 913849/913810</t>
  </si>
  <si>
    <t>Подшипник ступицы GRF 32314 VKHB2072 МБ МАН Сетра BPW rear insid 0049819905 0059810005 0129813205</t>
  </si>
  <si>
    <t>.0129813205</t>
  </si>
  <si>
    <t>.0002507615</t>
  </si>
  <si>
    <t>Подшипник передней ступицы внутренний ОМ 350/403  VKHB 2280 70*150*64 MB 0139814205 Сетра Актрос задн. ступ.</t>
  </si>
  <si>
    <t xml:space="preserve">. 0139814205 </t>
  </si>
  <si>
    <t>Подшипник выжимной Ман Truck/Bus Икарус  Сетра  Даф 81305500050 81305500078 81305500041  3151119001</t>
  </si>
  <si>
    <t>Подшипник выжимной МБ V6 A0002507615 Bus/Truck 0012500315 3151126031 0002507615</t>
  </si>
  <si>
    <t>Подшипник выжимной Мерседес V8 A0002507415 0002507715 0002501915 0002502515 3151027131 Bus/Truck</t>
  </si>
  <si>
    <t>.0002501915</t>
  </si>
  <si>
    <t>Подшипник выжимной Сетра/Setra Мерседес- 0002507515 3151108031 Truck</t>
  </si>
  <si>
    <t>.0002507515</t>
  </si>
  <si>
    <t>Подшипник выжимной МБ А0022500815 0012508815 0012508615 0012509815 Bus/Truck Неоплан высокий</t>
  </si>
  <si>
    <t>.0012509815</t>
  </si>
  <si>
    <t>Подшипник выжимной МБ 304/ 403 / Неоплан короткий 0012508815</t>
  </si>
  <si>
    <t>.0012508815</t>
  </si>
  <si>
    <t>Подшипник выжимной Ман Неоплан</t>
  </si>
  <si>
    <t>Подшипник выжимной МБ 350/403/404 MB 0012508815 0022500815 0012509615</t>
  </si>
  <si>
    <t>.0012509615</t>
  </si>
  <si>
    <t>Подшипник коленвала компрессора 0009810535 0079813001 Timken original</t>
  </si>
  <si>
    <t>.0079813001</t>
  </si>
  <si>
    <t>Подшипник игольчатый шкворня  50*58*25   5010439415</t>
  </si>
  <si>
    <t>Подшипник передней ступицы колеса наружный 33210 МБ 303/403/350 МАН 0019817605</t>
  </si>
  <si>
    <t>.0019817605</t>
  </si>
  <si>
    <t>Подшипник ступицы Setra/Scania 32022X  Setra S312/315HD мост ZF/Scania VKHB2281 110X170X38 MM 98170035</t>
  </si>
  <si>
    <t>Подшипник дифференциала FAG 575725 МБ 303/350/403 0069813405 0099816905 0069813505</t>
  </si>
  <si>
    <t>.0069813505</t>
  </si>
  <si>
    <t>Подушка двигателя МБ 303/304/404/405 3012402917 передняя</t>
  </si>
  <si>
    <t>Подушка двигателя SEM 7536  Мерседес  задняя 6452400018 6452400118</t>
  </si>
  <si>
    <t>Подушка двигателя 9412417113 9412415113 SEM 7871</t>
  </si>
  <si>
    <t>Подушка двигателя 3572400218 SEM 7638 OM 345 350 403 405 408 3572400418 3572400618</t>
  </si>
  <si>
    <t>Подушка двигателя задняя 295669 ДАФ F2800/3300/3600</t>
  </si>
  <si>
    <t>v411467</t>
  </si>
  <si>
    <t>Подушка двигателя передняя ДАФ F2800/3300/3600 0073409</t>
  </si>
  <si>
    <t>.0073409</t>
  </si>
  <si>
    <t>Подушка двигателя Ман 81962100241 81962100319 81962100151  81962100302</t>
  </si>
  <si>
    <t>. 0073409</t>
  </si>
  <si>
    <t>Подушка двигателя Ман, SL 200/240 SEM 7390 81962100293</t>
  </si>
  <si>
    <t>Подушка двигателя Мерседес Актрос Неоплан задняя 9412414713 SEM7868</t>
  </si>
  <si>
    <t>Подушка двигателя  МБ 345 305 405   3072400017  SEM7730</t>
  </si>
  <si>
    <t>Подушка двигателя Мерседес Аксор  6292400218</t>
  </si>
  <si>
    <t>Подушка двигателя Мерседес Travego Integro O457/502/580  6292400217   6272400801</t>
  </si>
  <si>
    <t>Полуось Z=48 (шлицы) Neoplan 4474335113  4474335107 4474335057  11013958</t>
  </si>
  <si>
    <t>Полуось L=1021 mm MB O303 O350 Tourismo O403 60200044 OR135113 3013570201</t>
  </si>
  <si>
    <t>Поршень компрессора Мерседес  Вольво 88 мм стандарт 0001319311   1698848  0001302517 с кольцами</t>
  </si>
  <si>
    <t>.0001319311</t>
  </si>
  <si>
    <t>Прокладка крышки ступицы ZF 4474335071 1415146 0003530680 93190899 1011013165</t>
  </si>
  <si>
    <t>. 0003530680</t>
  </si>
  <si>
    <t>Прокладка головки блока ПГБ 108 мм. Ман D 0826 D0826 133105</t>
  </si>
  <si>
    <t>Прокладка головки блока ПГБ 125 мм Ман/MБ резиновая окантовка 51039010262</t>
  </si>
  <si>
    <t>Прокладка головки блока ПГБ 128 мм. Ман D2866 euro</t>
  </si>
  <si>
    <t>Прокладка двигателя верхний набор Ман 125 мм. D2566 с уплотнительными резинками  51009006570, 51009006437</t>
  </si>
  <si>
    <t>Прокладка клапанной крышки Ман МБ 4030160321, 51039050135</t>
  </si>
  <si>
    <t>Прокладка компрессора SEM 7354 MБ МАН 51961010040 51961010048</t>
  </si>
  <si>
    <t>Прокладка коллектора МБ/МАН впускного  51089020161  4421411780   4421411080</t>
  </si>
  <si>
    <t>Прокладка картера МБ V6 OM401-421/ 441 ,125мм, 4410140422, 712392210</t>
  </si>
  <si>
    <t>Прокладка картера МБ V8 OM402/422 128мм 4420140222</t>
  </si>
  <si>
    <t>Полный набор прокладок 128 мм. Мерседес MB МБ V8 ОМ422/A/LA EURO</t>
  </si>
  <si>
    <t>Полный набор прокладок 125 мм D2566/56 МАН 51009006331 51015100150</t>
  </si>
  <si>
    <t>Полный набор прокладок 128 мм. МАН D2856/66 51009006603</t>
  </si>
  <si>
    <t>Поршневая группа компрессора 90 мм. воздушного охлаждения 4421300008 4471300108  4031300008 4411300008</t>
  </si>
  <si>
    <t>Поршневая группа компрессора 90 мм. водяного охлаждения 4421300308 4021300608</t>
  </si>
  <si>
    <t>Поршневая группа компрессора 100 мм  4411300008 4421300008 4421300108</t>
  </si>
  <si>
    <t>Пружина тормозная передняя МБ / Ман 3469930110 , 617993010</t>
  </si>
  <si>
    <t xml:space="preserve">Пружина тормозной колодки Мерседес  3414210092 </t>
  </si>
  <si>
    <t>Пружина тормозной колодки Мерседес  6179931010 D 1*11*79.5</t>
  </si>
  <si>
    <t>Пыльник тормозного барабана МБ 303/305 6594201644 3054231020</t>
  </si>
  <si>
    <t>Пыльник тормозного барабана МБ 303/305 6594201744 3054231120</t>
  </si>
  <si>
    <t>Радиатор масляный 10-ти секционный МБ 0011888801 0021887901 (Теплообменник)</t>
  </si>
  <si>
    <t>.0011888801</t>
  </si>
  <si>
    <t>Радиатор отопителя салона,теплообменник МБ 405/303/МАН 0038353001 BEHR 8FH351312711</t>
  </si>
  <si>
    <t>.0038353001</t>
  </si>
  <si>
    <t>Радиатор МБ 303 670х640х76/71 BEHR-HELLA 8MK376709611 MB 0005013001 0005012801</t>
  </si>
  <si>
    <t>.0005013001</t>
  </si>
  <si>
    <t>Радиатор МБ 350/403/304/404/340 775х720х62 BEHR HELLA 8MK376709761 MB 3565010901 6135010001</t>
  </si>
  <si>
    <t>Радиатор МБ 405/345 OM407/427/447 BEHR HELLA  8MK376774561 3575012601 3575012501  3575011901 6715010301 6715010001 3575012701</t>
  </si>
  <si>
    <t>Радиатор MAN LIONS NEOPLAN CITYLINER TOURLINER SKYLINER BEHR HELLA 8MK376755431</t>
  </si>
  <si>
    <t>8MK376755431</t>
  </si>
  <si>
    <t>Радиатор Travego Setra  0025012201 0025019301 6295011201 0025010101 1015x805 mm</t>
  </si>
  <si>
    <t>. 0025012201</t>
  </si>
  <si>
    <t>Регулятор давления воздуха Wabco 9753034730 Мерседес Ман Вольво Неоплан Рено Ивеко  0014310006 310.100.0 РДВ 9753034730</t>
  </si>
  <si>
    <t>Регулятор давления воздуха Мерседес Ман Вольво Даф Икарус Неоплан Рено Ивеко Wabco 9753001100 РДВ</t>
  </si>
  <si>
    <t>Регулятор давления воздуха Wabco 9753034740 Мерседес Ман Сетра Неоплан Рено Ивеко  РДВ 9753034740</t>
  </si>
  <si>
    <t>Реле зарядки генератора 28V 140A   1197311316</t>
  </si>
  <si>
    <t>Реле поворотников 10 контактов 24 v Ман Мерседес Сетра Неоплан Вольво 81253110023</t>
  </si>
  <si>
    <t>Ремкомплект водяного насоса МБ A4035865220 4222000060 4222000901  4232000104</t>
  </si>
  <si>
    <t>Ремкомплект шкив водяного насоса 135x15мм open tip</t>
  </si>
  <si>
    <t>Ремкомплект водяного насоса 135х15мм 4222010207</t>
  </si>
  <si>
    <t>Ремкомплект Шкив водяного насоса 2-х руч-й OM401/403/402/422/427/447 МB 4032020710 4032021710</t>
  </si>
  <si>
    <t>Ремкомплект водяного насоса крыльчатка D=135мм MB407-447 4222000404 4222000604</t>
  </si>
  <si>
    <t>Ремкомплект тормозной колодки 3074200339 SMP-010.600 SMP-010.600 MB-307 420 03 39, FEBI-07466, MEYLE-034 042 0017</t>
  </si>
  <si>
    <t>Ремкомплект тормозной колодки 3534232310</t>
  </si>
  <si>
    <t xml:space="preserve">Ремкомплект тормозной колодки (пружины) МБ 0079935601 Сетра 8285049053 Неоплан 070353500 ZF 0501298042 Febi 18908 </t>
  </si>
  <si>
    <t>. 0079935601</t>
  </si>
  <si>
    <t>Ремкомплект  осушителя воздуха 12V 100W 4324209202 0005480870</t>
  </si>
  <si>
    <t>. 0005480870</t>
  </si>
  <si>
    <t>339.401.2</t>
  </si>
  <si>
    <t>Ремкомплект крана открывания двери МБ/ Ман / Рено 4720020092</t>
  </si>
  <si>
    <t>Ремкомплект крана уровня пола Мерседес Ивеко Даф 0003200258</t>
  </si>
  <si>
    <t>.0003200258</t>
  </si>
  <si>
    <t>249/303.2</t>
  </si>
  <si>
    <t>Ремкомплект крана ручного тормоза 249.303.2   9617220042</t>
  </si>
  <si>
    <t>Ремкомплект насоса ГУР МБ 0005862846 FEBI08788</t>
  </si>
  <si>
    <t>.0005862846</t>
  </si>
  <si>
    <t>Ремкомплект пневмогидроусилителя МАН / МБ 303 / Ивеко 4620120012 , 0005863029</t>
  </si>
  <si>
    <t>. 0005863029</t>
  </si>
  <si>
    <t>Ремкомплект пневмогидроусилителя МБ Сетра 315 ПГУ 408.100.2 KSK.28.1 0002900347 9700519162 ПГУ 0002951518 9700511580</t>
  </si>
  <si>
    <t>. 0002951518</t>
  </si>
  <si>
    <t>Ремкомплект пневмогидроусилителя ПГУ 402.100.2 WSK.28.10 0002950660 9700519062</t>
  </si>
  <si>
    <t>Ремкомплект пневмогидроусилителя ПГУ 405.101.2 9700510022</t>
  </si>
  <si>
    <t>Ремкомплект пневмогидроусилителя ПГУ VG3264 VG3269 00123167 35696/008 404.103.2 910012015</t>
  </si>
  <si>
    <t>Ремкомплект пневмогидроусилителя ПГУ VG3361 413.100.2 14195/008 0002901047 910012025</t>
  </si>
  <si>
    <t>.0002901047</t>
  </si>
  <si>
    <t>Ремкомплект пневмогидроусилителя ПГУ 9700519432 81307256079 410.100.2 9700513070 9700514070 9700514080 910005015</t>
  </si>
  <si>
    <t>Ремкомплект пневмогидроусилителя ПГУ II 31733/008 VG3261 910011035 404.102.2   81307256080</t>
  </si>
  <si>
    <t>Ремкомплект пневмогидроусилителя ПГУ 443.300.2 910014075 627182АМ 626639 АМ 3093100</t>
  </si>
  <si>
    <t>Ремкомплект пневмогидроусилителя (малый) МАН ПГУ I 90586 VG 3208 404.100.2 910011015   81307256042</t>
  </si>
  <si>
    <t>Ремкомплект прокладок компрессора МБ 90 мм 4021300020 4021300220</t>
  </si>
  <si>
    <t>Ремкомплект прокладок компрессора МБ 345/Актрос D100 мм 4421312380 4421312680 4421310031 4421312780 4421312480 4421301120</t>
  </si>
  <si>
    <t>Ремкомплект прокладок компрессора Вольво  LP4812  270879   I869090061</t>
  </si>
  <si>
    <t>I869090061</t>
  </si>
  <si>
    <t xml:space="preserve">Ремкомплект прокладок компрессора Вольво  Скания  3097143 (LP49 PS) 3097147  3091739  1376281  1542159 1542159  1376279  1376280  </t>
  </si>
  <si>
    <t>Ремкомплект прокладок компрессора Вольво Скания  KZ433.1   RK.01.052   3090471  270698, 1327886, 1374083, 1322813, 232035, SK2681/5</t>
  </si>
  <si>
    <t xml:space="preserve">Ремкомплект прокладок компрессора Даф FX95 WSK.9.E  RK.01.123   на компрессора 9115045010 1331138 1310523 1341501 1331141 </t>
  </si>
  <si>
    <t>Ремкомплект регулятора давления воздуха РДВ 9753030012  310.101.2   3101012</t>
  </si>
  <si>
    <t>310.101.2</t>
  </si>
  <si>
    <t>Ремкомплект стартера с подшипником МБ/МАН/Икарус BOSCH-1987010000, DELCO REMY-19024385</t>
  </si>
  <si>
    <t>Ремкомплект суппорта рычаг вкладыши суппорта CKSK.18 12 градусов SB6/SB7 Tracktehnic</t>
  </si>
  <si>
    <t>Ремкомплект суппорта бинокль МБ МАН ЛИАЗ-5292 (новая модель) Tracktehnic  CKSK.17</t>
  </si>
  <si>
    <t>Ремкомплект суппорта Вольво FH/FM MCK1135 CMSK.98</t>
  </si>
  <si>
    <t>Ремкомплект суппорта Ман 81417006095</t>
  </si>
  <si>
    <t>Ремкомплект суппорта Сетра Knorr 352798 82840002210 82840002190</t>
  </si>
  <si>
    <t>Ремкомплект суппорта CWSK.4   3434382701, 12999738VT, 1505890, 12999678, M100675</t>
  </si>
  <si>
    <t xml:space="preserve"> Ремкомплект шкворня 49/50 мм. Ман с игольчатым подшипником 81442056022 81442056013</t>
  </si>
  <si>
    <t>Ремкомплект шкворня МБ 50/51 мм. с игольчатым подшипником 3913300019 3913300119 3913300219</t>
  </si>
  <si>
    <t>Ремкомплект шкворня 45*219  с проточкой  3553300319 3555860133</t>
  </si>
  <si>
    <t>Ремкомплект шкворня 216*45 МБ 403/350 3003300119</t>
  </si>
  <si>
    <t>Ремкомплект шкворня Сетра с игольчатым подшипником 45 мм 3897-2M</t>
  </si>
  <si>
    <t>Ремкомплект тормозного вала МАН Mерседес OM 303 340 404 405 407 408 Аксор Актрос 3604200341 3605860442 3604200441</t>
  </si>
  <si>
    <t xml:space="preserve">Ремкомплект тормозного вала Сетра 8285057052 Неоплан 8.285.057.052 </t>
  </si>
  <si>
    <t>Ремкомплект тормозной камеры 24х24 0024301560, 0025865242</t>
  </si>
  <si>
    <t>.0025865242</t>
  </si>
  <si>
    <t>Ремкомплект тормозной камеры 30х30 МБ  0025862642 9253200022</t>
  </si>
  <si>
    <t>.0025862642</t>
  </si>
  <si>
    <t>Ремкомплект топливного насоса 0000900210 , 10 частей  2447035017  2447010011   2447010017   2447365011  0000910840  0000900210</t>
  </si>
  <si>
    <t>.0000900210</t>
  </si>
  <si>
    <t>Ремкомплект топливного стаканчика МБ 4 части , 0000910840</t>
  </si>
  <si>
    <t>.0000910840</t>
  </si>
  <si>
    <t>Ремкомплект стаканчик топливного насоса  0004770002</t>
  </si>
  <si>
    <t>Ремкомплект цилиндра сцепления главного (на 3х болтах) S-5307 A0002903867 МАН 81307156104</t>
  </si>
  <si>
    <t>Ремкомплект цилиндра сцепления главного MB S-5185 A0002904667 0002902612</t>
  </si>
  <si>
    <t>.0002902612</t>
  </si>
  <si>
    <t>Ремкомплект цилиндра сцепления рабочего МБ303/350 V8 A0002900911 0005863129 Bus/Truck</t>
  </si>
  <si>
    <t>.0002900911</t>
  </si>
  <si>
    <t>Ремкомплект цилиндра сцепления главного Вольво 3094730  3094523vv3094730  5547PS</t>
  </si>
  <si>
    <t>Ротор якорь генератора  МБ 24v 140A 0001542815</t>
  </si>
  <si>
    <t>. 0001542815</t>
  </si>
  <si>
    <t>Ручка багажника МБ 403/350 Неоплан MB 6137500093</t>
  </si>
  <si>
    <t xml:space="preserve">Ручка багажника МБ 403/404/350 Неоплан в сборе с замком и ключами 6139880360 </t>
  </si>
  <si>
    <t>KG171302</t>
  </si>
  <si>
    <t>KG171402</t>
  </si>
  <si>
    <t>avt1435, v171435</t>
  </si>
  <si>
    <t>Ручка КПП 303/340/350/403/404 MB   6202680042</t>
  </si>
  <si>
    <t>Сапун двигателя МБ высокий 0000183735 4230100062 0009975348 51018047023</t>
  </si>
  <si>
    <t>Сапун двигателя МБ короткий 0000183735</t>
  </si>
  <si>
    <t>.0000183735</t>
  </si>
  <si>
    <t>. 0009975348</t>
  </si>
  <si>
    <t>Сапун двигателя МАН  51018047037</t>
  </si>
  <si>
    <t>Стабилизатор Сетра передний кривой SR1005 Setra 215/315 179231111102D</t>
  </si>
  <si>
    <t>179231111102D</t>
  </si>
  <si>
    <t>Стабилизатор Сетра 215/216/228 Неоплан 080741300 передн 139231111204 C SR1006</t>
  </si>
  <si>
    <t>.139231111204</t>
  </si>
  <si>
    <t>Стабилизатор Неоплан 116/516 Neoplan 36437150000 1011015917 11015917 082753900</t>
  </si>
  <si>
    <t>Стабилизатор передний прямой Сетра SR 1004   179231111201D</t>
  </si>
  <si>
    <t>179231111201D</t>
  </si>
  <si>
    <t>Стабилизатор передний МБ 303 3013230065 MR2008</t>
  </si>
  <si>
    <t>Стабилизатор МБ 350 403  404  передний 3563200311 MR4008  MR 4008</t>
  </si>
  <si>
    <t>Стабилизатор MAN LIONS / CiTYLINER / STARLINER / TOURLINER Ман MN1005   MN 1005 81437150100 81437156064</t>
  </si>
  <si>
    <t>Стабилизатор МБ Travego580 Tourismo Integro Intouro SETRA415/417 MB 6293230665 6293230365</t>
  </si>
  <si>
    <t>Стабилизатор МБ Ситаро 530 Сетра 415/416 MB 6283260265</t>
  </si>
  <si>
    <t>Стабилизатор МБ CITARO 530 MB 6283230065</t>
  </si>
  <si>
    <t>Стекло заднего фонаря МБ 405 трехцветное  ST1004</t>
  </si>
  <si>
    <t>Стекло стоп фонаря заднего МБ 304 красное YP14</t>
  </si>
  <si>
    <t>Стекло фонаря поворота заднего МБ 304 желтое YP14</t>
  </si>
  <si>
    <t>Стекло фары МБ 303/304/405 правое С11527 MB 0038262090</t>
  </si>
  <si>
    <t>.0038262090</t>
  </si>
  <si>
    <t>Стекло фары МБ 303/304/405 левое C11528 MB 0028269590 0038261990</t>
  </si>
  <si>
    <t>.0028269590</t>
  </si>
  <si>
    <t>Стекло фары МB Conecto 345/350/403 нового образца левое 11553 MB 6138200061 6718200061</t>
  </si>
  <si>
    <t>Стекло фары МБ Conecto 345/350/403 нового образца правое 11552 MB 6718200161 6138200161</t>
  </si>
  <si>
    <t>Стекло фары МB Conecto 345 TOURISMO EURO3-350/403 правое 11513 MB 6138200161 6718200161</t>
  </si>
  <si>
    <t>Стекло фары МB Conecto 345 TOURISMO EURO3-350/403 левое 11514 6718200061 6138200061</t>
  </si>
  <si>
    <t>Стекло фары МB 404 TOURISMO EURO2 403/350 правое С11529 0038268790 0038269190</t>
  </si>
  <si>
    <t>.0038269190</t>
  </si>
  <si>
    <t>Стекло фары МB 404 TOURISMO EURO2 350/403 левое C11530 0038268690 0038268690</t>
  </si>
  <si>
    <t>. 0038268690</t>
  </si>
  <si>
    <t>Стекло фары МАН 19422 Ивеко  С11524  6302.020</t>
  </si>
  <si>
    <t>Стойка стабилизатора Сетра прямая SR1007 , 1791117001D</t>
  </si>
  <si>
    <t>1791117001D</t>
  </si>
  <si>
    <t>Стойка стабилизатора Сетра кривая SR1008 ,Setra 215-315 179231119002D</t>
  </si>
  <si>
    <t>179231119002D</t>
  </si>
  <si>
    <t>Стойка стабилизатора MB 350/403/404 3563200589 3563200089</t>
  </si>
  <si>
    <t>Стойка стабилизатора правая Сетра S228-S328-S431 82262500000</t>
  </si>
  <si>
    <t>Стойка стабилизатора левая Сетра S228-S328-S431 82262490000</t>
  </si>
  <si>
    <t>.315233111002</t>
  </si>
  <si>
    <t>Стремянка рессоры с гайками Мерседес MB303/304/305/350/403 6003510125   180х415х24х2</t>
  </si>
  <si>
    <t>Стремянка Мерседес MB 350/403/404/405 М 24*3  159*390 3573510025</t>
  </si>
  <si>
    <t>Стремянка рессоры с гайками Вольво 100*220*20 1628345</t>
  </si>
  <si>
    <t>Стремянка рессоры с гайками Вольво 102*390*24 Германия 1590927</t>
  </si>
  <si>
    <t>Стремянка рессоры с гайками BPW 128*400*24 0313841020 04504500A</t>
  </si>
  <si>
    <t>.0313841020</t>
  </si>
  <si>
    <t>Стремянка рессоры с гайками Ивеко 100*420*24 Неоплан 11013517 42065777</t>
  </si>
  <si>
    <t>Стремянка рессоры с гайками 101*360*24 Мерседес Ман 3433510225 3953510125</t>
  </si>
  <si>
    <t>Стремянка рессоры с гайками 101*420*24 Ивеко 98516420</t>
  </si>
  <si>
    <t>Стремянка рессоры с гайками Мерседес МБ 101*520*24 3873510025</t>
  </si>
  <si>
    <t>Стремянка рессоры с гайками Мерседес МБ 1824 81*420*20 6173510825</t>
  </si>
  <si>
    <t>Стремянка рессоры с гайками SAF 101*350*24 1136031200 98028350</t>
  </si>
  <si>
    <t>Стремянка рессоры с гайками SAF 132*430*24</t>
  </si>
  <si>
    <t>Ступица задняя 403/404/350 MB 3563560001</t>
  </si>
  <si>
    <t>Ступица передняя МБ Tourisma 350/403/404  3563340201 3563340001</t>
  </si>
  <si>
    <t>Ступица задняя МБ Connecto  Неоплан 072250300 Сетра ZF 4472335160  барабанные тормоза</t>
  </si>
  <si>
    <t>Ступица Неоплан задняя ZF 4474335074 4472435370 4472433570  дисковые тормоза</t>
  </si>
  <si>
    <t>Ступица МБ  V8 3853561401  3853560601   140*150*235*377</t>
  </si>
  <si>
    <t>Ступица задняя  MAN Lion's City/Classic/Coach/Regio/Star, Neoplan 3.67611 81357010155</t>
  </si>
  <si>
    <t>Ступица передняя Actros Axor O580 Travego Setra 4-Series 463151 9423341501 9423341201 0501318101 0501324340   NP2011</t>
  </si>
  <si>
    <t>Суппорт тормозной Мерседес Ман 3464230906 81502020080 6524230006 81502020127 81502020217 9424230306 9422430706 6524230006</t>
  </si>
  <si>
    <t>Термостат 71C , 0032037475 0042038475 0052037375</t>
  </si>
  <si>
    <t>.0032037475</t>
  </si>
  <si>
    <t>Термостат 79C МБ 0052032675 51064020050 51064020050 51064020056 51064020064 51064020067</t>
  </si>
  <si>
    <t>Термостат 83C Ман/МБ 51064020063 51064020060 0032037375 0052032675 0042038375</t>
  </si>
  <si>
    <t>BHR208583, v125383</t>
  </si>
  <si>
    <t>Трапеция стеклоочистителя MB 403/350/345 6718200041</t>
  </si>
  <si>
    <t>Трещетка тормозная 3078/854 МБ/Неоплан задняя  HALDEX-70706C 070112507 3054202638</t>
  </si>
  <si>
    <t xml:space="preserve"> Трещетка тормозная 3202/864 МБ303/305/307/404 Неоплан перед 3074200338</t>
  </si>
  <si>
    <t>Трещетка тормозная 3162/768 , HALDEX-79220C,81506106203 81506106181  3574201438</t>
  </si>
  <si>
    <t>Трещетка тормозная 3163/768 MAN, HALDEX-79219C 81506106204 81506106182</t>
  </si>
  <si>
    <t>Трещетка тормозная Неоплан 070276000 11013281 3863/778</t>
  </si>
  <si>
    <t>Трещетка тормозная  Неоплан 070276100 3864/788</t>
  </si>
  <si>
    <t>.070276000</t>
  </si>
  <si>
    <t>.070276100</t>
  </si>
  <si>
    <t>Трещетка тормозная 3900/686 , 303/404, 3574200538</t>
  </si>
  <si>
    <t>Трещетка тормозная задняя левая 4035/477 , 3574201138</t>
  </si>
  <si>
    <t>Трещетка тормозная задняя правая 4036/477, 3574201238</t>
  </si>
  <si>
    <t>Трещетка тормозная 4037/476  МБ 0303 0340 0404 задняя левая/правая 3014201138</t>
  </si>
  <si>
    <t>Трещетка тормозная Сетра 315 WVA 2761/412   82830005530   WVA 2761/412</t>
  </si>
  <si>
    <t>Трещетка тормозная Сетра 315 4335435200 919014</t>
  </si>
  <si>
    <t>Трещетка тормозная Сетра 315 4335435210 919015</t>
  </si>
  <si>
    <t>Трещетка тормозная левая Сетра / BPW WABCO 4335435170 82830007790</t>
  </si>
  <si>
    <t>Трещетка тормозная правая Сетра / BPW WABCO 4335435160 82830007780</t>
  </si>
  <si>
    <t>Трубки тнвд Вольво TD100 422238 467495</t>
  </si>
  <si>
    <t>Трубки тнвд Ман MAN D2566 51103016123</t>
  </si>
  <si>
    <t>Трубки тнвд МАН D2866 51103036132</t>
  </si>
  <si>
    <t>Трубки тнвд Ман D0826 51103036005 51103026211</t>
  </si>
  <si>
    <t>Трубки ТНВД МБ V6  OM 401/441   4410701133   4410705533</t>
  </si>
  <si>
    <t>Трубки ТНВД МБ V8 ОМ 402/422/442, Tructec 0113108, 0113030</t>
  </si>
  <si>
    <t>.0113030</t>
  </si>
  <si>
    <t>Трубки ТНВД МБ ОМ422 - 442LA V8 турбо   4420701134   4420708133</t>
  </si>
  <si>
    <t>Трубки тнвд МБ 345 4470702133</t>
  </si>
  <si>
    <t>Трубка компрессора МБ водяная верхняя 4222000752   4422000252</t>
  </si>
  <si>
    <t>Трубка компрессора МБ водяная нижняя 4222001552</t>
  </si>
  <si>
    <t>.0030963799</t>
  </si>
  <si>
    <t>Турбокомпрессор OM 401LA/441LA/421LA/423LA   0030963799</t>
  </si>
  <si>
    <t>Тяга крана уровня пола МБ 230 мм. с наконечниками 3073200389</t>
  </si>
  <si>
    <t>Тяга крана уровня пола МБ/МАН 403   220мм с наконечниками</t>
  </si>
  <si>
    <t>Тяга крана уровня пола с пластиковой головкой D 6*315 782.100.2 7821002 6500.447 6500447</t>
  </si>
  <si>
    <t>Тяга реактивная МБ 58,5 см.O303/304/305/307/325/340,O405/7/8FEBI 21336 MR-2006A 3573303411</t>
  </si>
  <si>
    <t>Тяга реактивная МБ 72.5 см.МБ 303/304/305/325/340/405 MR-2006B  6003300111  3173500706  FEBI 21346</t>
  </si>
  <si>
    <t>Тяга реактивная МБ 77.5 см. MR-2006C  3573303111   3223301011</t>
  </si>
  <si>
    <t>Тяга / стойка  реактивная МБ 88 см. MR-2006D MR 2006 D 3573303411</t>
  </si>
  <si>
    <t>Тяга реактивная МБ 96 см. MR2006Е MR 2006 E 3573304211 / 3173300411 МБ 325 / 303 / 304</t>
  </si>
  <si>
    <t>Тяга реактивная Сетра L=660 SEM 9344 Setra 8.226.318.000   8226323000   8226318000   82263870000</t>
  </si>
  <si>
    <t>Тяга рулевая Сетра 300/400 конус D 27   8226330000C    8226330000</t>
  </si>
  <si>
    <t xml:space="preserve"> 8226330000C </t>
  </si>
  <si>
    <t>Тяга рулевая Сетра 680 мм MB INTOURO 560  6273300203  82263260000  82263280000</t>
  </si>
  <si>
    <t>Тяга продольная рулевая  Мерседес 988мм 23593   3574600405</t>
  </si>
  <si>
    <t>Тяга рулевая L=506 mm МБ 403/350   3563300103    6133300103</t>
  </si>
  <si>
    <t>Тяга рулевая L=697mm МБ 403,404,350 3563300003, 6133300003</t>
  </si>
  <si>
    <t>Тяга рулевая МБ 350/403/404 MB 6134630015 3564630015</t>
  </si>
  <si>
    <t>Тяга рулевая L=605 mm MB 350/403/404 3563330605 6133330005 6133330105</t>
  </si>
  <si>
    <t>Тяга рулевая поперечная МБ 405 МАН 81467106862    81467106910</t>
  </si>
  <si>
    <t>Тяга  рулевая продольная МБ 405 МАН 202/242  81466106684   81466106375</t>
  </si>
  <si>
    <t>Тяга рулевая поперечная L=1720mm МБ405/407/408    3573300203   3573300503</t>
  </si>
  <si>
    <t>Тяга рулевая продольная L=1145 МБ 302/303/307/308  3004600505 0003301085 3004600405</t>
  </si>
  <si>
    <t>Тяга V-образная Мерседес МБ 3563331304  3563331304  6133330004  6133330104  85MR04749 ОМ 403/404/350</t>
  </si>
  <si>
    <t xml:space="preserve"> Тяга V-образная МБ 350/403 усиленная 6133330104</t>
  </si>
  <si>
    <t>Тяга V-образная MB 403/404 левая/нижняя 6133300010 3563301410</t>
  </si>
  <si>
    <t>Тяга V-образная правая нижняя Мерседес   350/403/404 6133300110  3563301510</t>
  </si>
  <si>
    <t>Тяга V-образная Неоплан Neoplan 082750900 N11015863</t>
  </si>
  <si>
    <t>.082750900</t>
  </si>
  <si>
    <t>Рычаг независимой подвески SEM 8923 МБ 350/403/404   6133300011</t>
  </si>
  <si>
    <t>Трещетка тормозная Сетра 315 2760/412   82830005520  WVA 2760/558</t>
  </si>
  <si>
    <t>Рычаг независимой подвески L=628 мм МБ 350/403/404 6133500006 3563500106 6133500006</t>
  </si>
  <si>
    <t>Стойка стабилизатора Сетра 315 , 321, INTOURO 560  315233111002d  315233111002</t>
  </si>
  <si>
    <t>Стойка стабилизатора Travego Integro Setra 400 0003200132 0003200832 8226368000 6323200332</t>
  </si>
  <si>
    <t>Тяга рулевая поперечная средняя 380 мм Сетра 200-215 конус D 24 8226137000C 8226147000 8226313000 8226305000 Q8.226.313.000</t>
  </si>
  <si>
    <t>Шайба конусная без разреза шпильки колеса внутренняя малая МБ 22.2*32*5.5   3174020175    Febi 01346</t>
  </si>
  <si>
    <t>Шайба конусная c разрезом шпильки колеса наружняя большая  074361022351  22mm Febi 01245</t>
  </si>
  <si>
    <t>. 074361022351</t>
  </si>
  <si>
    <t>Шайба гроверная 25X48X2 MB SAMPA 105142  3043220962</t>
  </si>
  <si>
    <t>Шайба реактивной штанги (на 3 отверстия) MB 3173330162</t>
  </si>
  <si>
    <t xml:space="preserve"> Шатун компрессора Мерседес Ман 4031303616 4421310217 4031302816 4031310717 4421310017  51541066013 51541066030 4421310217</t>
  </si>
  <si>
    <t>Шатун компрессора 100мм OM447 EURO1 345BUS 4421310217 (injection)</t>
  </si>
  <si>
    <t>Поршень компрессора с кольцами 100мм OM447  EURO1 OM345 4421310217  51541196001  Ман</t>
  </si>
  <si>
    <t>Шкив натяжителя МБ / Неоплан ОМ 303/404/340/350 с буртом 4422000770</t>
  </si>
  <si>
    <t>Шкив генератора 3х ручейк МБ 0001555515 OM 401/403/407/422/441/442 0001555515</t>
  </si>
  <si>
    <t>.0001555515</t>
  </si>
  <si>
    <t>Шкиф  натяжной ролик ремня ОМ401/402/441/442 MБ 403/445/350 0005500033 4422000770</t>
  </si>
  <si>
    <t>Шкив генератора 2х руч MB  0001555515    0001558815</t>
  </si>
  <si>
    <t>. 0001558815</t>
  </si>
  <si>
    <t>Шланг компрессора тормозной в мет. оплетке(штуцер-штуцер) МБ V8 TEFLON M22*1.5 40 см 0014290735</t>
  </si>
  <si>
    <t>.0014290735</t>
  </si>
  <si>
    <t>Шланг компрессора тормозной в мет. оплетке(штуцер-гайка) TEFLON M22*1.5 40 см 0014290735</t>
  </si>
  <si>
    <t>131508/2</t>
  </si>
  <si>
    <t>Шланг обратки МБ 50 метров D3.2*7mm  4270700055 51963300070 0119977782</t>
  </si>
  <si>
    <t>Шланг Патрубок интеркуллера МБ 304/403, 0010947982 0020946382</t>
  </si>
  <si>
    <t>.0010947982</t>
  </si>
  <si>
    <t>Шланг тормозной Мерседес MB 100 см M16*1,5/M18*1.5</t>
  </si>
  <si>
    <t>Шланг тормозной передний 890мм МБ 350/403 MB 0014290535</t>
  </si>
  <si>
    <t>. 0014290535</t>
  </si>
  <si>
    <t>Шланг тормозной МБ350/403/405 0014290935</t>
  </si>
  <si>
    <t>.0014290935</t>
  </si>
  <si>
    <t>Шпилька колеса с еврогайкой 22х1,5х80/90</t>
  </si>
  <si>
    <t>Шпилька 22*1,5*82  Неоплан с гайкой  38118150/11</t>
  </si>
  <si>
    <t>Шпилька МБ задняя с еврогайкой 22X1.5X85 с еврогайкой 38116630</t>
  </si>
  <si>
    <t>Шпилька МБ задняя с еврогайкой 22х1.5х98 3814010571</t>
  </si>
  <si>
    <t>Шпилька МБ задняя с еврогайкой 22Х1.5Х110 MB МАН 3814010771</t>
  </si>
  <si>
    <t>Шпилька МБ задняя с еврогайкой МБ 2517 22х1.5х105 3814010571</t>
  </si>
  <si>
    <t>Шпилька МБ задняя с еврогайкой 22X1.5X70 с еврогайкой 9424010271</t>
  </si>
  <si>
    <t>Шпилька 22*1,5*77 МБ еврогайка задняя 3524020071</t>
  </si>
  <si>
    <t>Шпилька 22*1.5*130 Мерседес</t>
  </si>
  <si>
    <t>Шестерня компрессора малая ОМ407/427/447 МБ 4661320005 4071321105 Z=20 MB 4071321105</t>
  </si>
  <si>
    <t>Шестерня компрессора большая МБ305/405/345 MAN 51542100141 51542100049 Z=49 4071300030</t>
  </si>
  <si>
    <t>Шестерня компрессора малая  100м  МБ  4071321105   Z=20 MB / MAN</t>
  </si>
  <si>
    <t>Штуцер подкачки колеса 140 мм (на безкамерный диск)</t>
  </si>
  <si>
    <t>Штуцер подкачки колеса 90 мм. (на безкамерный диск)</t>
  </si>
  <si>
    <t>Штуцер подкачки колеса 115 мм. (на безкамерный диск)</t>
  </si>
  <si>
    <t>Щетка стеклоочистителя 70 см. МАН   Мерседес MB  МБ 81264406021 81264400029</t>
  </si>
  <si>
    <t>Щетка стеклоочистителя 70 см (нового образца) 0018204845</t>
  </si>
  <si>
    <t>.0018204845</t>
  </si>
  <si>
    <t>Щетка стеклоочистителя 80 см МАЗ МАН 81264400033</t>
  </si>
  <si>
    <t>Щетка стеклоочистителя 90 см 81264400060</t>
  </si>
  <si>
    <t>Щетка стеклоочистителя 100 см. 6301222 0018201345, 0008209045 81264400049 SETRA 7731145003 , SETRA7.731.145.003 150705102</t>
  </si>
  <si>
    <t>.0008206445</t>
  </si>
  <si>
    <t>.0018201345</t>
  </si>
  <si>
    <t xml:space="preserve">Щетка стеклоочистителя 100 см.(нового образца)6301222 0018201345, 0008209045, SETRA7731145003 , SETRA 7.731.145.003 </t>
  </si>
  <si>
    <t>Стойка ( штанга ) стабилизатора Мерседес MБ303/304 MR-2005  3003200028</t>
  </si>
  <si>
    <t>Щуп масляный OM401/441/402/442/446 MB 4420100672</t>
  </si>
  <si>
    <t>Фильтр осушителя  4324102227 4324100202 699387 0699387</t>
  </si>
  <si>
    <t>Фильтр воздушный МБ CR0061 4760940004 0040943504</t>
  </si>
  <si>
    <t>Фильтр воздушный высокий HP-732 MB (MANN C 24 650/1) 0010947904</t>
  </si>
  <si>
    <t>.0010947904</t>
  </si>
  <si>
    <t>.0030947004</t>
  </si>
  <si>
    <t>Фильтр воздушный Ман Мерседес Сетра Неоплан  81083040038</t>
  </si>
  <si>
    <t>.0030941504</t>
  </si>
  <si>
    <t>Фильтр воздушный CH1267 МБ Ман Скания Вольво Рено Ивеко 0010949304</t>
  </si>
  <si>
    <t>.0010949304</t>
  </si>
  <si>
    <t>Фильтр воздушный Ман 81083040074 , 0030946004 C24508 50013459</t>
  </si>
  <si>
    <t>Фильтр воздушный  МБ 442LA Euro2 MAN D2866LOH Сетра Неоплан122  MANN C331840</t>
  </si>
  <si>
    <t>Фильтр воздушный Мерседес Ман Неоплан Сетра 415 (Travego Intouro OM 447/457/) 2866LF 0030947004 0030945004 81083040100</t>
  </si>
  <si>
    <t>Фильтр масляный МБ/Ман/Рено низкий 51055040085 4011800009</t>
  </si>
  <si>
    <t>Фильтр масляный МБ/Ман/Рено высокий MANN H12110/2X , 8105040041, 4021800009</t>
  </si>
  <si>
    <t>Фильтр масляный МБ / МАН KS 50013043 3661800009  3661840125</t>
  </si>
  <si>
    <t>Фильтр масляный МБ / МАН  4411800209 4411800109 KS 50013094 4411800309</t>
  </si>
  <si>
    <t>Фильтр масляный МБ / Рено MB Travego Setra Actros 5411800009 4571840025</t>
  </si>
  <si>
    <t>Фильтр масляный MAN Neoplan D2866/76 LF/LOH 20-25/29-31/34/35/38  51055040098</t>
  </si>
  <si>
    <t>Фильтр масляный Мерседес  Рено Даф  DH601 0001842325</t>
  </si>
  <si>
    <t>.0001842325</t>
  </si>
  <si>
    <t>Фильтр  масляный   Рено Вольво Скания   CS1424    RN 5000670699</t>
  </si>
  <si>
    <t>Фильтр топливный МБ KS original 50013021, 0004774515, 3554700192</t>
  </si>
  <si>
    <t>Фильтр топливный МБ МАН Рено Сетра 4220920205 0004773215</t>
  </si>
  <si>
    <t>.0004773215</t>
  </si>
  <si>
    <t>Фильтр топливный Мерседес Сетра (MANN P707) СЕ 1304 М, 0000322405</t>
  </si>
  <si>
    <t>.0000322405</t>
  </si>
  <si>
    <t>Фильтр топливный МБ МАН CE1330M 51125030042</t>
  </si>
  <si>
    <t>Фильтр топливный МВ Актрос DPU999/1x 5410900051 4570900051 5410900151 ОМ 350 403</t>
  </si>
  <si>
    <t>Фильтр топливный (грубой очистки) МБ / Ман KS 50013028 81125030019</t>
  </si>
  <si>
    <t>Фильтр топливный МБ Сетра Неоплан Ман Вольво Скания Ивеко М16*1.5  81125030035 , 51125030012</t>
  </si>
  <si>
    <t>Фара  ближнего света Neoplan, Scania Неоплан Скания Паз 3204 1BL 008 193-011</t>
  </si>
  <si>
    <t>505562 / 505596</t>
  </si>
  <si>
    <t>Фара дальнего света Neoplan Scania  Неоплан Скания Паз 3204 505563 / 505597 1KO 008191-021</t>
  </si>
  <si>
    <t>505563 / 505597</t>
  </si>
  <si>
    <t>Фара противотуманная МБ МАН Неоплан ЛИАЗ Вольво Hella Behr 1N0 008 582-017 0038202756</t>
  </si>
  <si>
    <t>505598/ 070598</t>
  </si>
  <si>
    <t>Фара Неоплан дальнего света FT107700</t>
  </si>
  <si>
    <t>FT107700</t>
  </si>
  <si>
    <t>Фара Неоплан ближнего света ( с подсветкой) FT 107705</t>
  </si>
  <si>
    <t xml:space="preserve"> FT 107705</t>
  </si>
  <si>
    <t>Фара МБ 403/345/350 левая ЛИАЗ ГОЛАЗ 12147Е 6718200061 6138200061</t>
  </si>
  <si>
    <t>Фара МБ 345/403/350 ЛИАЗ ГОЛАЗ 12148E правая 6718200161 6138200161</t>
  </si>
  <si>
    <t>Фара МБ 303/304/405 правая MB 3018201661 0018202961</t>
  </si>
  <si>
    <t>.0018202961</t>
  </si>
  <si>
    <t>Фара МБ 303/304/405 левая MB 3018201561 0018202861</t>
  </si>
  <si>
    <t>.0018202861</t>
  </si>
  <si>
    <t>Фара дальнего света MB original 403/350/345 MB 6138200261</t>
  </si>
  <si>
    <t>Фонарь габаритный верхний белый (на крыше, в сером корпусе)</t>
  </si>
  <si>
    <t>Фонарь габаритный верхний красный (на крыше, в сером корпусе)</t>
  </si>
  <si>
    <t>Фонарь бамперный VKP0331</t>
  </si>
  <si>
    <t>Фонарь габаритный Р100  YP36 24047</t>
  </si>
  <si>
    <t>Фонарь подсветка салона , багажника YP52</t>
  </si>
  <si>
    <t xml:space="preserve">Фонарь габаритный YP10 </t>
  </si>
  <si>
    <t>Фонарь габаритный DORSE длинный EM0084L</t>
  </si>
  <si>
    <t>Фонарь габаритный DORSE длинный EM0085L</t>
  </si>
  <si>
    <t>Фонарь стопа универсал Мерседес Вольво Ман Даф Скания Ивеко 7 функций</t>
  </si>
  <si>
    <t>Фонарь стопа 7 функций правый/левый ST1011</t>
  </si>
  <si>
    <t>Фонарь стопа универсал Мерседес Ман Вольво Даф Ивеко Скания 3 функции</t>
  </si>
  <si>
    <t>Фонарь стопа универсал Мерседес Ман Вольво Даф Ивеко Скания 5 функций  ST1005</t>
  </si>
  <si>
    <t>Фонарь стопа универсал с кабелем  Мерседес Ман Вольво Даф Ивеко Скания 5 функций  ST1005-1</t>
  </si>
  <si>
    <t>Фонарь габаритный задний M720205</t>
  </si>
  <si>
    <t>Фонарь стопа универсал Вольво Даф Мерседес Ман Скания Ивеко Рено 1620476</t>
  </si>
  <si>
    <t>Фонарь стопа МБ 345 красный 15204403К</t>
  </si>
  <si>
    <t>v170245</t>
  </si>
  <si>
    <t>Фонарь поворота МБ 345 задний желтый  15204403S</t>
  </si>
  <si>
    <t>Фонарь стопа МАН красный U0038LK</t>
  </si>
  <si>
    <t>Фонарь задний в сборе правый МБ 403/404/350 MB 6138200464</t>
  </si>
  <si>
    <t>avt0363,v170363</t>
  </si>
  <si>
    <t>avt0364,v170364</t>
  </si>
  <si>
    <t>Фонарь задний в сборе левый МБ 404/404/350 MB 6138200363</t>
  </si>
  <si>
    <t>Фонарь поворота Ман S2000 передний 521425</t>
  </si>
  <si>
    <t>Фонарь МБ 303 указателя поворота боковой,перед 170008</t>
  </si>
  <si>
    <t>Фонарь поворота МБ 403/350 левый  142*198*113*126    6138201356</t>
  </si>
  <si>
    <t>Фонарь поворота МБ 403/350 правый   142*198*113*126    6138201456</t>
  </si>
  <si>
    <t>Фонарь поворотника боковой задний МБ 403/404/350 MB 613820256 6138202156</t>
  </si>
  <si>
    <t xml:space="preserve">Фонарь поворота боковой Мерседес 403/350 6138201721 6138201621 </t>
  </si>
  <si>
    <t>Фонарь МБ 304 задний белый  YP56B</t>
  </si>
  <si>
    <t>Фонарь поворота МБ 304 задний желтый</t>
  </si>
  <si>
    <t>Фонарь поворота SCANIA 114-124 правый с розеткой 521312</t>
  </si>
  <si>
    <t>Фонарь поворота левый в сборе SCANIA 112-113 505603</t>
  </si>
  <si>
    <t>Фонарь стопа МБ 303 303101016 303101011</t>
  </si>
  <si>
    <t>Фонарь заднего хода МБ 303 303101016 303101011</t>
  </si>
  <si>
    <t>Фонарь поворота МБ 303 задний 303101016 303101011</t>
  </si>
  <si>
    <t>Фонарь МБ 304 задний красный  YP56K</t>
  </si>
  <si>
    <t xml:space="preserve"> v170222</t>
  </si>
  <si>
    <t>Фонарь задний МБ 403/350 левый/правый 6138200164</t>
  </si>
  <si>
    <t>Фонарь Неоплан / Скания задний белый 6309060</t>
  </si>
  <si>
    <t>Фонарь Неоплан / Скания поворота задний желтый</t>
  </si>
  <si>
    <t>Фонарь Неоплан / Скания задний красный 6309061</t>
  </si>
  <si>
    <t>Фонарь отражателя с белым фотодиодом YP77W</t>
  </si>
  <si>
    <t>Фонарь отражатель с белым фотодиодом YP78Y</t>
  </si>
  <si>
    <t>Фонарь светоотражатель красный 170х170</t>
  </si>
  <si>
    <t>Фонарь отражатель с красным фотодиодом YP77R</t>
  </si>
  <si>
    <t>Фонарь отражатель с красным фотодиодом YP78R</t>
  </si>
  <si>
    <t>Фонарь отражатель  с желтым фотодиодом YP78Y</t>
  </si>
  <si>
    <t>Фонарь противотуманный МБ 403/404/350/345 MB 6138200761</t>
  </si>
  <si>
    <t>Фонарь поворота Ман SL220/240 передний</t>
  </si>
  <si>
    <t>Хомут гофры глушителя 100 MB 6219970090</t>
  </si>
  <si>
    <t>Хомут гофры глушителя 110.5 унивесал 11089</t>
  </si>
  <si>
    <t>Хомут гофры глушителя 127.5 универсал 11070</t>
  </si>
  <si>
    <t>Крышка компрессора со втулкой МБ/МАН 4031301045 / 51.54130.6006</t>
  </si>
  <si>
    <t>Крышка компрессора  квадратная под 4 болта    4421310021</t>
  </si>
  <si>
    <t>Крышка компрессора  круглая под три болта  Мерседес Ман  4071310021</t>
  </si>
  <si>
    <t>Головка компрессора с плитой и прокладками 4421310519 4071300519 ОМ 345 100мм</t>
  </si>
  <si>
    <t>Крышка компрессора 100мм 4421300445 4421311342</t>
  </si>
  <si>
    <t>Крышка радиатора МАН/МБ 0005014615</t>
  </si>
  <si>
    <t>.0005014615</t>
  </si>
  <si>
    <t>Крышка топливного бака с замком металлическая 80мм 3024710130,  0004711230</t>
  </si>
  <si>
    <t>.0004711230</t>
  </si>
  <si>
    <t>Крышка КПП передняя МБ 3872610518 3872610918 3872612218</t>
  </si>
  <si>
    <t>Мембрана 12 глубокая A0004311728 0074202518</t>
  </si>
  <si>
    <t>.0074202518</t>
  </si>
  <si>
    <t>Мембрана 14 стд стандартная 8971216104</t>
  </si>
  <si>
    <t>Мембрана 16 глубокая A0004312028 0004312928 0014200824 8971205164</t>
  </si>
  <si>
    <t>.0004312928</t>
  </si>
  <si>
    <t>Мембрана 16 стд A0004212986 0084201218 0084201318 8971205104</t>
  </si>
  <si>
    <t>.0084201318</t>
  </si>
  <si>
    <t>Мембрана 20 стд A0004310728 0004212086 0004314028 8971205204</t>
  </si>
  <si>
    <t>. 0004212086</t>
  </si>
  <si>
    <t>Мембрана 20 глубокая A0004214286 0014319714 0124209818 0014316914 0004312128 0014313414</t>
  </si>
  <si>
    <t>. 0014319714</t>
  </si>
  <si>
    <t>Мембрана 24 глубокая A0004233486, 0004313486 0004231286</t>
  </si>
  <si>
    <t>.0004231286</t>
  </si>
  <si>
    <t>Мембрана 24 стд A0004212086 0104208618 0004311828</t>
  </si>
  <si>
    <t>.0004311828</t>
  </si>
  <si>
    <t>Мембрана 27 глубокая/стандартная 0004314228</t>
  </si>
  <si>
    <t>.0004314228</t>
  </si>
  <si>
    <t>Мембрана 30 глубок A0004216286</t>
  </si>
  <si>
    <t>.0004216286</t>
  </si>
  <si>
    <t>Мембрана 30 стд  0004231286  8971205404</t>
  </si>
  <si>
    <t>Накладка тормозная WVA 19581/82 46266 задняя (8шт в комп-те)</t>
  </si>
  <si>
    <t>WVA 19581/82</t>
  </si>
  <si>
    <t>Накладка тормозная WVA 19581/82+1 Мерседес Ман Скания Вольво Неоплан 46266+1</t>
  </si>
  <si>
    <t>Накладка тормозная WVA 19579/80 +2   второй ремонт  МБ / Ман/Неоплан передняя 46265+2    V6 V8</t>
  </si>
  <si>
    <t>WVA 19579/80+2</t>
  </si>
  <si>
    <t>Накладка тормозная Мерседес Ман Вольво Неоплан задн 220 19581/82 + 2 46266+2</t>
  </si>
  <si>
    <t>Накладка тормозная WVA 19579/80 МБ / Ман/Неоплан передняя 46265 V6 V8</t>
  </si>
  <si>
    <t>WVA 19579/80</t>
  </si>
  <si>
    <t>Накладка тормозная WVA 19579/80 +1   первый ремонт  МБ / Ман/Неоплан передняя 46265+2    V6 V8</t>
  </si>
  <si>
    <t xml:space="preserve">WVA 19579/80+1 </t>
  </si>
  <si>
    <t>Накладка тормозная STD  WVA 19090 19938 Вольво F7 FL 7 10 12 FH 12 WVA19090 WVA19938 3095177 3098264</t>
  </si>
  <si>
    <t>WVA 19090</t>
  </si>
  <si>
    <t>Накладка тормозная Мерседес  V6 V8 160 перед 46265+2</t>
  </si>
  <si>
    <t>KG101072</t>
  </si>
  <si>
    <t>Накладка тормозная передняя STD 180/180 МБ/МАН WVA 19487/19495</t>
  </si>
  <si>
    <t xml:space="preserve"> WVA 19487/19495</t>
  </si>
  <si>
    <t>Накладка тормозная  WVA 19495 2 рем МАН МБ Рено Ивеко WVA19495+2 WVA19487+2  WVA 19487 + 2    81502210850 3464230010 6174231511</t>
  </si>
  <si>
    <t>WVA19495+2</t>
  </si>
  <si>
    <t>Накладка тормозная Мерседес MB STD  WVA 17280 WVA17280 6734212731 6744214830 6734216210</t>
  </si>
  <si>
    <t>WVA 17280</t>
  </si>
  <si>
    <t>Накладка тормозная WVA 19562/63+2 Вольво второй ремонт</t>
  </si>
  <si>
    <t>WVA 19562/63 +2</t>
  </si>
  <si>
    <t>WVA 19562 / 19563</t>
  </si>
  <si>
    <t>Накладка тормозная Вольво задняя 4784/254 WVA 19800</t>
  </si>
  <si>
    <t xml:space="preserve"> WVA 19800</t>
  </si>
  <si>
    <t xml:space="preserve"> Накладка тормозная стд Вольво  WVA 19071  3093259  3093263  3095169  </t>
  </si>
  <si>
    <t>WVA 19071</t>
  </si>
  <si>
    <t>Накладка тормозная STD  WVA 19488 19496 Ман Мерседес Актрос</t>
  </si>
  <si>
    <t>Накладка тормозная  WVA 19488+1  19496+1 Ман Мерседес Актрос 1 рем</t>
  </si>
  <si>
    <t xml:space="preserve"> WVA 19488+1 </t>
  </si>
  <si>
    <t>Накладка тормозная  WVA 19488+2 19496+2 Ман Мерседес Актрос 2 рем</t>
  </si>
  <si>
    <t xml:space="preserve"> WVA 19488+2</t>
  </si>
  <si>
    <t xml:space="preserve">   WVA 19488</t>
  </si>
  <si>
    <t xml:space="preserve">Накладка тормозная STD WVA 19494  19486  19713   Рено Мерседес Ман 81502200658   81502210903   81502210845   6214210410  </t>
  </si>
  <si>
    <t xml:space="preserve"> WVA 19494</t>
  </si>
  <si>
    <t>Накладка тормозная WVA 19848 19743 / 19755 210x220 Неоплан Сетра Мерседес задняя</t>
  </si>
  <si>
    <t xml:space="preserve"> WVA 19848</t>
  </si>
  <si>
    <t>Накладка тормозная WVA 19848+1 44031+1 рем Неоплан Сетра</t>
  </si>
  <si>
    <t xml:space="preserve">WVA 19848+1 </t>
  </si>
  <si>
    <t>Накладка тормозная WVA 19848+2 44031+2 рем Неоплан Сетра</t>
  </si>
  <si>
    <t xml:space="preserve"> WVA 19848+2</t>
  </si>
  <si>
    <t xml:space="preserve">Накладка тормозная Неоплан Сетра 196х220 (узкая) WVA 19847 /19848 Eren 44031/1 </t>
  </si>
  <si>
    <t>WVA 19847</t>
  </si>
  <si>
    <t>Накладка тормозная Неоплан Сетра 196х220 (узкая)19847/19699+2 44031/1+2 рем</t>
  </si>
  <si>
    <t>WVA 19847+2</t>
  </si>
  <si>
    <t>Накладка тормозная Неоплан Сетра 196x220 (узкая)19847/19699 44031/1+1</t>
  </si>
  <si>
    <t>WVA 19847+1</t>
  </si>
  <si>
    <t>Накладка тормозная БПВ Актрос Неоплан 19495 1700 08 WVA 19496 19488 19487 4623 178*182</t>
  </si>
  <si>
    <t>WVA 19496</t>
  </si>
  <si>
    <t>Накладка тормозная  Неоплан Сетра передняя ширина- 160мм с заклепками 44030 WVA 19849 19850</t>
  </si>
  <si>
    <t>WVA 19849</t>
  </si>
  <si>
    <t>Накладка тормозная  STD WVA 19931  WVA 19925 Скания 113 114 124 143 144 WVA19931 551161 551137 1109002  WVA19925 (комплект 4шт)</t>
  </si>
  <si>
    <t>WVA 19931</t>
  </si>
  <si>
    <t>Накладка тормозная задние Скания WVA 19933 551180 WVA19933 (4 шт в комп-те)</t>
  </si>
  <si>
    <t>WVA 19933</t>
  </si>
  <si>
    <t>Накладка тормозная Скания Вольво задняя 178EN WVA19075  4704</t>
  </si>
  <si>
    <t>WVA19075</t>
  </si>
  <si>
    <t>Накладка тормозная  WVA 19932+1 1 рем Scania Скания 113 114 124 143 144 WVA19932+1  1109003 551124 552114 551192 (4шт в комп-те)</t>
  </si>
  <si>
    <t>WVA 19932+1</t>
  </si>
  <si>
    <t>Накладка тормозная STD  WVA 19932 Scania Скания 113 114 124 143 144 WVA19932 551162 551138 1109003 551124</t>
  </si>
  <si>
    <t xml:space="preserve"> WVA 19932</t>
  </si>
  <si>
    <t>Накладка тормозная STD  WVA 19604 ROR WVA19604 19604163005</t>
  </si>
  <si>
    <t xml:space="preserve">WVA 19604 </t>
  </si>
  <si>
    <t>Накладка тормозная  WVA 19036+1  1 рем ROR РОР WVA19036+1 21200791B</t>
  </si>
  <si>
    <t>WVA 19036+1</t>
  </si>
  <si>
    <t>Накладка тормозная  WVA 19557+1  1 рем БПВ BPW ДАФ МБ Сетра SAF WVA19557+1 M91003506 19365195005T090</t>
  </si>
  <si>
    <t xml:space="preserve">WVA 19557+1 </t>
  </si>
  <si>
    <t>Накладка тормозная WVA 19557+2 2 рем БПВ ДАФ SAF BPW МБ MB Сетра WVA19557+2 M91003501 19365</t>
  </si>
  <si>
    <t>WVA 19557+2</t>
  </si>
  <si>
    <t>Накладка тормозная 150/200  WVA 19574+2  2рем WVA 19515  WVA 19516   Мерседес БПВ</t>
  </si>
  <si>
    <t>WVA 19574+2</t>
  </si>
  <si>
    <t>Накладка тормозная 150/200  WVA 19574 + 1 Мерседес БПВ BPW WVA19574+1 WVA 19574 +1 8241999686 0309214330 0309214450 0309214120</t>
  </si>
  <si>
    <t>WVA 19574 + 1</t>
  </si>
  <si>
    <t>Накладка тормозная STD  WVA 19369 ROR WVA19369 21200795B</t>
  </si>
  <si>
    <t>WVA 19369</t>
  </si>
  <si>
    <t>Накладка тормозная задние RVI Рено STD  WVA 19187 WVA19187 5001855122 5001823240</t>
  </si>
  <si>
    <t>WVA 19187</t>
  </si>
  <si>
    <t>Накладка тормозная STD  WVA 19032 БПВ ДАФ SAF BPW 1057301200  0309226450</t>
  </si>
  <si>
    <t xml:space="preserve"> WVA 19032</t>
  </si>
  <si>
    <t>Накладка тормозная STD 360х200 BPW WVA 19902 WVA19902 0309219550 0309219240 0309219540</t>
  </si>
  <si>
    <t xml:space="preserve"> WVA19902</t>
  </si>
  <si>
    <t>Накладка тормозная STD  WVA 19365 WVA19365  WVA19366  WVA 19366  19366185005</t>
  </si>
  <si>
    <t>WVA 19365</t>
  </si>
  <si>
    <t>Накладка тормозная STD  WVA 19283 / 19284 WVA19283 WVA19284 1057306000 1057996100 1057006000 3057306000</t>
  </si>
  <si>
    <t xml:space="preserve">WVA 19283 </t>
  </si>
  <si>
    <t>WVA 19495</t>
  </si>
  <si>
    <t>Накладка тормозная STD  WVA 19935 Рено RVI WVA19935 5001019221 5000821817 5000811113 5001860032</t>
  </si>
  <si>
    <t xml:space="preserve"> WVA 19935</t>
  </si>
  <si>
    <t>Накладка тормозная Ивеко 1906201 WVA 19262/19342</t>
  </si>
  <si>
    <t>WVA 19262</t>
  </si>
  <si>
    <t xml:space="preserve">Накладка тормозная 150/200/17-4отв WVA 41016   WVA19574  19574  19515+1  19516+1   WVA41016+1  WVA19574+1   первый ремонт 200EN </t>
  </si>
  <si>
    <t xml:space="preserve"> WVA19574</t>
  </si>
  <si>
    <t>Наконечник тяги крана уровня пола 81436130030</t>
  </si>
  <si>
    <t>Наконечник тяги кпп левый МАН/МБ 55мм М12*1.5 A0002686189, 81953016171</t>
  </si>
  <si>
    <t>.0002686189</t>
  </si>
  <si>
    <t>v411611, 01879</t>
  </si>
  <si>
    <t>Наконечник тяги кпп правый МАН/МБ 55мм М12*1.5 A0002686289, 81953016170</t>
  </si>
  <si>
    <t>.0002686289</t>
  </si>
  <si>
    <t>v411612, 01880</t>
  </si>
  <si>
    <t>Наконечник кпп центральный MAN/MB 85мм А0002684889 М14х1.5, 81953016248</t>
  </si>
  <si>
    <t>.0002684889</t>
  </si>
  <si>
    <t>v511740, 01512</t>
  </si>
  <si>
    <t>Наконечник рулевой тяги МБ 302/303/304/403/405/350 МАН/ДАФ/НЕОПЛАН правый 0003300248</t>
  </si>
  <si>
    <t>.0003300248</t>
  </si>
  <si>
    <t>v411749, MR00081</t>
  </si>
  <si>
    <t>Наконечник рулевой тяги МБ 302/303/304/403/405/350, МАН/ДАФ/СКАНИЯ левый 0003300148</t>
  </si>
  <si>
    <t>.0003300148</t>
  </si>
  <si>
    <t>v412277,MR00082</t>
  </si>
  <si>
    <t xml:space="preserve">Наконечник рулевой тяги правый Неоплан/ МБ / Ман/ Даф  Сетра Лиаз 5292 81953016234 8226236059 6851475000 685180000 6851484000 </t>
  </si>
  <si>
    <t>v511537, MR000058</t>
  </si>
  <si>
    <t xml:space="preserve">Наконечник рулевой тяги левый OM 403,404,350, 405 Мерседес Ман Сетра Неоплан Скания Даф Лиаз 5292  0014600348 81953010015  </t>
  </si>
  <si>
    <t>.0014600348</t>
  </si>
  <si>
    <t>v511540,MR000059</t>
  </si>
  <si>
    <t>Наконечник рулевой тяги МБ/Вольво/Ивеко 105мм   М24*1,5  правый  0003301235</t>
  </si>
  <si>
    <t>.0003301235</t>
  </si>
  <si>
    <t>v155222, 00209</t>
  </si>
  <si>
    <t>Наконечник рулевой тяги МБ/Вольво/Ивеко 105мм М24*1,5 левый 0003309835</t>
  </si>
  <si>
    <t>.0003309835</t>
  </si>
  <si>
    <t>v155305,00210</t>
  </si>
  <si>
    <t>Наконечник рулевой тяги поперечной МБ правый 0013302135 0003302835 0013302635 с внутренней резьбой</t>
  </si>
  <si>
    <t>.0013302135</t>
  </si>
  <si>
    <t>155269, MR00706</t>
  </si>
  <si>
    <t>Наконечник рулевой тяги поперечной МБ левый 0013302235 0003301935 0003302935 0003307835 0003385029 0003304135 с внутр резьбой</t>
  </si>
  <si>
    <t>.0013302235</t>
  </si>
  <si>
    <t>v1552700 MR00707</t>
  </si>
  <si>
    <t xml:space="preserve">Наконечник поперечной рулевой тяги правый Сетра Мерседес 6851523000 6851447000 6851478000 6851486000 6851488000  0004600148 </t>
  </si>
  <si>
    <t>v155231, 00078</t>
  </si>
  <si>
    <t xml:space="preserve">Наконечник рулевой тяги правый 90мм   М26*1,5  Сетра Мерседес Ман  0014606948  </t>
  </si>
  <si>
    <t>.0014606948</t>
  </si>
  <si>
    <t>v155274, 06001</t>
  </si>
  <si>
    <t>Наконечник рулевой тяги МБ 350/403 правый 0014602148 0004607748</t>
  </si>
  <si>
    <t>v155227,MR03883</t>
  </si>
  <si>
    <t>.0004607748</t>
  </si>
  <si>
    <t>Наконечник рулевой тяги МБ 350/403 левый 0014602048 0004607848</t>
  </si>
  <si>
    <t>.0004607848</t>
  </si>
  <si>
    <t>v155228, MR03883</t>
  </si>
  <si>
    <t>Наконечник рулевой тяги МБ 350/403 правый 0003330827</t>
  </si>
  <si>
    <t>.0003330827</t>
  </si>
  <si>
    <t>v155223, 91MR04650</t>
  </si>
  <si>
    <t>Наконечник продольной рулевой тяги  81953016277 81953016233 0004606748 81953016255</t>
  </si>
  <si>
    <t>.400650002166, 05512</t>
  </si>
  <si>
    <t>Тяга двери с наконечниками МБ 303/403 MB XB3737600633   3737600633</t>
  </si>
  <si>
    <t xml:space="preserve">Насос гур 100 бар  A0004606680 Ман Мерседес MB МБ  Cетра Неоплан  Truck,Bus A0004602480 0004666701 0024607680 0014606080 </t>
  </si>
  <si>
    <t>.0004602480</t>
  </si>
  <si>
    <t>Насос ГУР 120 бар 81471016122  LUK 5420023210</t>
  </si>
  <si>
    <t>v269520</t>
  </si>
  <si>
    <t>Насос ГУР 155 бар MB 350/403 0004606180 , 0014605780 0024606480 0014606880</t>
  </si>
  <si>
    <t>.0004606180</t>
  </si>
  <si>
    <t>Насос водяной Ман/ Мерседес МБ A 4032007101 4032007601 4032005101 без ретарды</t>
  </si>
  <si>
    <t>Насос водяной Мерседес 4032007301 (с ретардой)</t>
  </si>
  <si>
    <t>Насос ручной подкачки МАН Мерседес Ивеко    TF3100   0440008073  0440008982 BOSCH 0 440 008 073  0 440 008 982 OM 441-447 MB 345/405</t>
  </si>
  <si>
    <t>.0440008073</t>
  </si>
  <si>
    <t>Насос ручной подкачки МБ 0000900050</t>
  </si>
  <si>
    <t>Насос ручной подкачки МБ  / Ман правый короткий 0010916301</t>
  </si>
  <si>
    <t>.0010916301</t>
  </si>
  <si>
    <t>Насос подкачки топлива короткий левый 0440008027  0440003182</t>
  </si>
  <si>
    <t>.0440008027</t>
  </si>
  <si>
    <t>Насос подкачки топлива длинный левый со стаканом МБ 0000900650  0440008027  0440008043  0440008043</t>
  </si>
  <si>
    <t xml:space="preserve">.0000900650 </t>
  </si>
  <si>
    <t>Насос ручной подкачки МБ / Ман ОМ 447 345/405/407 0000903150, 0440008989</t>
  </si>
  <si>
    <t>.0000903150</t>
  </si>
  <si>
    <t>Насос подкачки топлива длинный правый со стаканом МБ 0010912501</t>
  </si>
  <si>
    <t>.0010912501</t>
  </si>
  <si>
    <t>Натяжитель ремня MB345/403 MB 4072000570 4072000670</t>
  </si>
  <si>
    <t>Обойма коленвала передняя MAN/MB 4420310027 51.02130.0012</t>
  </si>
  <si>
    <t>Обойма коленвала задняя MAN/MB ,4030320309, 51021300013</t>
  </si>
  <si>
    <t>Опора (плита)  верхняя пневмобаллона Сетра SR1012 D=150.8  (C661N )</t>
  </si>
  <si>
    <t>Опора нижняя пневмобаллона SR1010 Сетра перед. D=150 мм под 661N 10723101004D 365018 152-2924120</t>
  </si>
  <si>
    <t>.10723101004D</t>
  </si>
  <si>
    <t>Опора нижняя пневмобаллона под 644N SR1011 Сетра Travego 1072310103.3D 10723101033D D=130 мм 6293290018</t>
  </si>
  <si>
    <t>.10723101033D</t>
  </si>
  <si>
    <t>Опора  верхняя (плита)  пневмобаллона Сетра SR1013 D=130.8 мм (С644N)</t>
  </si>
  <si>
    <t>Опора нижняя пневмобаллона MR2011 МБ 3573201534 3573200134 3073200175</t>
  </si>
  <si>
    <t>Опора нижняя пневмобаллона MR2003 МБ-303/304 опора с балки пневморессоры</t>
  </si>
  <si>
    <t>Опора (плита-площадка) нижняя пневмобаллона МБ-303/304,350,403 MR-2004 3023200143</t>
  </si>
  <si>
    <t>Опора верхняя пневмобаллона МБ MR2012 6123200035 на 644N</t>
  </si>
  <si>
    <t>Опора нижняя пневмобаллона МБ-403 передняя, правая 3563202243</t>
  </si>
  <si>
    <t>Опора нижняя пневмобаллона МБ-350/403 передняя, левая 3563202243</t>
  </si>
  <si>
    <t>Опора (плита) верхняя пневмобаллона МБ 403/350 6183200035</t>
  </si>
  <si>
    <t>Опора нижняя пневмобаллона MN1003 под 916N Ман Неоплан 516  36436030008  81436030062</t>
  </si>
  <si>
    <t>Опора нижняя пневмобаллона MN1006 МАН D=130.8 мм под 884N</t>
  </si>
  <si>
    <t>Опора нижняя пневмобаллона MN1007 МАН D=132 мм</t>
  </si>
  <si>
    <t>Опора нижняя пневмобаллона Ман Неоплан MN1008, 81436030060 ,36436030011 265007</t>
  </si>
  <si>
    <t>Опора нижняя пневмобаллона MN1009 D=132.00 мм</t>
  </si>
  <si>
    <t>Опора нижняя пневмобаллона MR6001 МБ 3933201018 под 673N</t>
  </si>
  <si>
    <t>Опора нижняя пневмобаллона NP1001 Неоплан D=150 мм под 661N 1001000200 Neoplan 1001.207.00</t>
  </si>
  <si>
    <t>Опора нижняя пневмобаллона NP1002 Неоплан задняя под 662N 12253</t>
  </si>
  <si>
    <t>Опора плита верхняя пневмобаллона Неоплан NP-1004 D=149 MM 12252А</t>
  </si>
  <si>
    <t>Опора плита верхняя пневмобаллона Неоплан NP-1005 6109.503 под 662 пневмобаллон</t>
  </si>
  <si>
    <t>Отбойник Сетра 4771160000 Ман 81960206006 SEM 8492/7281 D=96 H=96 d=19</t>
  </si>
  <si>
    <t>Патрубок радиатора нижний  Мерседес BUS O 304 O 340 O 350 Tourismo O 403 O 404 МВ 3565010382 3565010201 3565010901  3565010682</t>
  </si>
  <si>
    <t>Отбойник  Неоплан</t>
  </si>
  <si>
    <t>Патрубок радиатора 6205012082 (65х60х580)</t>
  </si>
  <si>
    <t>Патрубок радиатора 3015010582</t>
  </si>
  <si>
    <t>Патрубок радиатора 3015010182</t>
  </si>
  <si>
    <t>Патрубок радиатора Мерседес  50*50*450   3015010782</t>
  </si>
  <si>
    <t>Патрубок радиатора   32*28*650   6165010682</t>
  </si>
  <si>
    <t>Патрубок радиатора верхний (от радиатора к термостату) Мерседес  3565010482</t>
  </si>
  <si>
    <t>Патрубок радиатора Мерседес 1621-1624-1921-1924-2624-2628  48*55*330 53х65х311   3465015182</t>
  </si>
  <si>
    <t xml:space="preserve">Патрубок радиатора D60/65 L150 (от отделителя воздуха к помпе водяной) Мерседес Bus O 304 O 340 O 350 Tourismo O 403 O 404 </t>
  </si>
  <si>
    <t>Патрубок радиатора Мерседес Аксор 1835-1843-1935-2535-2543-3335-3228-AXOR  28*28*22   9405011282</t>
  </si>
  <si>
    <t xml:space="preserve">Патрубок радиатора верхний Мерседес 9405010782 </t>
  </si>
  <si>
    <t>Патрубок радиатора 6205010382</t>
  </si>
  <si>
    <t>Патрубок радиатора 6555011282  63*63*280</t>
  </si>
  <si>
    <t>Патрубок гофрированный  впускной к впускному коллектору Мерседес  МВ  6995282682 6155280482 6155280782 6155280082</t>
  </si>
  <si>
    <t>Патрубок радиатора нижний Мерседес V6  V8 O 303 O 405 O 530 3578321393 6285010882 6285010782 6125001372 3015010382</t>
  </si>
  <si>
    <t>Переключатель комбинированный Сетра 7332017000</t>
  </si>
  <si>
    <t>Переключатель комбинир. подрулевой МБ 303 /304/403/404/345/350 6205400045 3575400045</t>
  </si>
  <si>
    <t>Переключатель подрулевой МБ 350/345/403,Сетра,Актрос (поворот,ближн/дальн,щетки,сигнал) 0075458224</t>
  </si>
  <si>
    <t>Подрулевой переключатель Neoplan 116/117/122/216 150608600 Monark 083865308</t>
  </si>
  <si>
    <t>Переключатель указателей поворота Neoplan MB 0035458324 Monark 083865039</t>
  </si>
  <si>
    <t>.0035458324</t>
  </si>
  <si>
    <t>.0075458224</t>
  </si>
  <si>
    <t>.150608600</t>
  </si>
  <si>
    <t>Переходник насоса гур МБ 0001320710</t>
  </si>
  <si>
    <t>.0001320710</t>
  </si>
  <si>
    <t>Пневмогидроусилитель ПГУ Мерседес TRAVEGO МБ Ман Сетра Неоплан Eurotech 411.104.0 9700514410 0002540447 0002540047</t>
  </si>
  <si>
    <t>.0002540047</t>
  </si>
  <si>
    <t>.0002526013</t>
  </si>
  <si>
    <t xml:space="preserve">Ремкомплект корзины сцепления Мерседес  Сетра 420мм, 0002526013 0002524613 0002522216 0002523116 0002522614 0002521245 </t>
  </si>
  <si>
    <t>Тяга рулевая поперечная средняя L=484 mm Setra S216/S228DT/S328DT  6273300303 82262470000 82263470000</t>
  </si>
  <si>
    <t>Стойка стабилизатора Neoplan  MB Travego</t>
  </si>
  <si>
    <t xml:space="preserve">Тяга рулевая поперечная L=661 mm  MAN Lion's, Irizar, Neoplan 81467116783 81467116782 81467116770 81467116772 81467116874 </t>
  </si>
  <si>
    <t>.04277</t>
  </si>
  <si>
    <t>Рычаг независимой подвески колеса МАН Неоплан 81432206251 81432206254 81432206256 81432206248</t>
  </si>
  <si>
    <t xml:space="preserve">Стойка стабилизатора передняя левая Tourismo,Travego, Setra 3/4-Series 0003200232 0003200632 0003200932 0003201032 6323200432 </t>
  </si>
  <si>
    <t>.0501213004</t>
  </si>
  <si>
    <t>.08631</t>
  </si>
  <si>
    <t>.08630</t>
  </si>
  <si>
    <t>Цены руб,от 50тыс руб</t>
  </si>
  <si>
    <t>Цены от 100тыс руб</t>
  </si>
  <si>
    <t>Цены от 150 тыс руб</t>
  </si>
  <si>
    <t>Цена до 50тыс</t>
  </si>
  <si>
    <t>ООО Автотрейдер24</t>
  </si>
  <si>
    <t xml:space="preserve">Насос циркуляционный WEBASTO  24v   U4814  Мерседес  MB 0008357464 Kormas 67114335  </t>
  </si>
  <si>
    <t>цена до 50тыс руб</t>
  </si>
  <si>
    <t>цена от 50тыс руб</t>
  </si>
  <si>
    <t>цена от 100тыс руб</t>
  </si>
  <si>
    <t>Цена от 150тыс руб</t>
  </si>
  <si>
    <t>Насос циркуляционный Big type/большой 6000 LT/H Webasto U4851 U4856</t>
  </si>
  <si>
    <t xml:space="preserve">Насос циркуляционный WEBASTO-U 4814 12W U-4814/43151D Kormas 67114365  </t>
  </si>
  <si>
    <t>Насос циркуляционный малого типа 24В 67114433 Bosch 0392020027 U4810</t>
  </si>
  <si>
    <t xml:space="preserve">Ремкомплект циркуляционного насоса 67114335 WEBASTO-U4814 Kormas 95100039 0008357464 </t>
  </si>
  <si>
    <t>Ремкомплект циркуляционного насоса 95100041 МБ Вебасто Kormas 0018351764 0008300098</t>
  </si>
  <si>
    <t>Артикул</t>
  </si>
  <si>
    <t xml:space="preserve">Вентилятор отопителя 24v Kormas 72235002 Spal 006-B40-22 1315720103 006B4022 0028303408 </t>
  </si>
  <si>
    <t>Вентилятор отопителя 24В MB 350/403 1315020003 72235006 0028300408</t>
  </si>
  <si>
    <t>Вентилятор обдува 24В  Spal 006-B39-22 006B3922 без резистора 1 скорость 72235001 1315720101</t>
  </si>
  <si>
    <t>Вентилятор отопителя 24V Kormas 72235018 006-B46-22 006B4622</t>
  </si>
  <si>
    <t>Вентилятор отопителя 24v Kormas 71233302 Spal 009-B46-22 009-B45-22 009B4622 009B4522</t>
  </si>
  <si>
    <t>Вентилятор отопителя 24V Kormas 71234003</t>
  </si>
  <si>
    <t>Вентилятор отопителя 24V Spal 008-B40-02 Kormas 71231004 Лиаз 5256 008B4002</t>
  </si>
  <si>
    <t>Вентилятор отопителя 24V Spal 008-B46-02 Kormas 71230005</t>
  </si>
  <si>
    <t xml:space="preserve">Вентилятор отопителя 24v Kormas Spal 009-B40-22 Setra 315/321 8.441.000.873 8441000873 0008355007 </t>
  </si>
  <si>
    <t>Вентилятор обдува 12В 72240001 Spal 012-A39-78 012-A40-78 012A3978 012A4078</t>
  </si>
  <si>
    <t xml:space="preserve">Вентилятор обдува 24В 72240002 Spal 012-B39-78 012-B40-78 (без резистора 1 скорость) 012B3978 </t>
  </si>
  <si>
    <t>Вентилятор обдува 12В 72240011 Spal 009-A46-22 009-A45-22 009A4622 009A4522</t>
  </si>
  <si>
    <t>Вентилятор обдува 24В 72240012 1 скорость Spal 009-B46-22 009-B45-22 009B4622 009B4522</t>
  </si>
  <si>
    <t xml:space="preserve">Вентилятор обдува 12В 3-скорости 72240017 006-A40-22 006-A45-22 006-A46-22 006-A54-22 006A4022 </t>
  </si>
  <si>
    <t>Вентилятор отопителя Kormas Неоплан 316 70241501 Spal 004-B42-28D AURORA 1325020000</t>
  </si>
  <si>
    <t>Вентилятор обдува 24В 70241524 Spal 008-B45-02D левый</t>
  </si>
  <si>
    <t>Вентилятор обдува 24В 70241522 Spal 008-B45-02D правый</t>
  </si>
  <si>
    <t>Вентилятор кондиционера  12V 280/308мм вытяжной 74316001 VA09-AP50/C-27A</t>
  </si>
  <si>
    <t>Вентилятор кондиционера 24V 280/308 мм вытяжной  74316002</t>
  </si>
  <si>
    <t>Вентилятор кондиционера 24V  280/308 вдувающий мм Spal VA09-BP50/C-27S  74316003</t>
  </si>
  <si>
    <t>Вентилятор кондиционера 24V 190/210 мм вытяжной</t>
  </si>
  <si>
    <t>Вентилятор кондиционера 24V 190/210 мм вдувающий</t>
  </si>
  <si>
    <t>Вентилятор кондиционера  305/336 мм  24v Spal VA10-BP50/C-25S  вдувающий 74315015</t>
  </si>
  <si>
    <t>Вентилятор - мотор кондиционера  255/289 мм 24v Spal VA11-BP12/C-29S вдувающий 74315011</t>
  </si>
  <si>
    <t>Вентилятор кондиционера 225мм 12V вытяжной VA07-AP8/C-58A VA07-AP12/C-58A 74315049</t>
  </si>
  <si>
    <t>Вентилятор кондиционера 225мм 12V вдувающий 74315005 Spal VA07-AP12/C-31S VA07-AP12/C-58S</t>
  </si>
  <si>
    <t>Вентилятор кондиционера 24V 225/247 мм вытяжной VA07-BP12/C-58A</t>
  </si>
  <si>
    <t>Вентилятор кондиционера 24V 255/289 мм вытяжной Spal VA11-BP12/C-57A</t>
  </si>
  <si>
    <t>Вентилятор кондиционера 24V 280/308 мм  вытяжной</t>
  </si>
  <si>
    <t>Вентилятор кондиционера Kormas 74316007 305/330 мм вытяжной.Spal VA01-BP70/LL-36A</t>
  </si>
  <si>
    <t xml:space="preserve">Вентилятор кондиционера Kormas 74316006 VA01-BP70/LL-36S вдувающий МБ 345/350 6298350007 </t>
  </si>
  <si>
    <t>Вентилятор кондиционера 24V  280/305 вдувающий 74315026</t>
  </si>
  <si>
    <t>Вентилятор кондиционера 24V 305/336 мм вытяжной VA10-BP10/C61A 74315067</t>
  </si>
  <si>
    <t>Моторчик отопителя 24v Лиаз Kormas 62213015</t>
  </si>
  <si>
    <t>Моторчик турбовентилятора ( на крыше ) 24v Kormas 62213301</t>
  </si>
  <si>
    <t>Моторчик вентилятора 24v Kormas 65123808</t>
  </si>
  <si>
    <t>Моторчик отопителя 24v 6A Kormas 65123802 0130111130  81619300055</t>
  </si>
  <si>
    <t>Моторчик вентилятора 24v Kormas 65123806</t>
  </si>
  <si>
    <t>Моторчик отопителя 24V</t>
  </si>
  <si>
    <t>Моторчик отопителя Kormas 65123810  0130111130</t>
  </si>
  <si>
    <t>Моторчик отопителя Kormas 67113121  Bosch 0130063029 Zenith 8000</t>
  </si>
  <si>
    <t>Вентилятор обдува  Bosch 0130063029 крыльчатка 101/90 9130451049 Kormas 67113105</t>
  </si>
  <si>
    <t xml:space="preserve">Моторчик кондиционера Kormas 67115002 Bosch 0130110003 Неоплан 116 122 Neoplan 28.02.10.021  </t>
  </si>
  <si>
    <t>Моторчик отопителя Kormas 67215007</t>
  </si>
  <si>
    <t>Моторчик стеклоочистителя Kormas 63108002 (шлицевая D 16mm)MБ Неоплан 116 Ман Lions Сетра 315 O 303</t>
  </si>
  <si>
    <t>Моторчик стеклоочистителя 24V Лиаз 6212 Голаз Kormas 63107004</t>
  </si>
  <si>
    <t>Моторчик стеклоочистителя (шлиц D=13мм ) МБ/МАН/Сетра/Неоплан/ПАЗ BOSCH 0390440402 MB 0048206742</t>
  </si>
  <si>
    <t>Вентилятор обдува лобового стекла 24V MB 303-307 0008307708</t>
  </si>
  <si>
    <t>Мотор вентилятора 24V MB 350/403 Kormas 66113902 Bosch 0130107070</t>
  </si>
  <si>
    <t>Моторчик отопителя Kormas 67113213  24V Zenith 8000</t>
  </si>
  <si>
    <t>Моторчик отопителя Kormas 67113207 24V   0 130 063 042</t>
  </si>
  <si>
    <t>Вентилятор отопителя Neoplan  MB MAN Лиаз Маз 81010100 БОШ: 0130063809 Spal 007-B42-32D 1329020002</t>
  </si>
  <si>
    <t>Крыльчатка вентилятора 95100004  D=140 H=68</t>
  </si>
  <si>
    <t>Крыльчатка отопителя D=100 H=90  95100002</t>
  </si>
  <si>
    <t>Крыльчатка вентилятора кондиционера Kormas 95100007</t>
  </si>
  <si>
    <t>Клапанный двигатель системы отопления MB Сетра Setra 3-4 Series,O350 Tourismo, O530 0048301884 0038305684</t>
  </si>
  <si>
    <t>Кран системы отопления трехконтурный 95200004  D 22х18х22</t>
  </si>
  <si>
    <t>Кран системы отопления трехконтурный 95200005  D 22х22х22</t>
  </si>
  <si>
    <t>Резистор 24В 95100051</t>
  </si>
  <si>
    <t>Отопитель салона в сборе под сиденье 81400005 24V universal</t>
  </si>
  <si>
    <t>Отопитель-нагревательный элемент 24V 2 скорости 80600004 AURORA 15355200002 153 552 00002 Zenith 8000</t>
  </si>
  <si>
    <t>Отопитель - нагревательный элемент 24v 3 скорости  80600009 Zenith 8000</t>
  </si>
  <si>
    <t>Резистор 24В 95100093</t>
  </si>
  <si>
    <t xml:space="preserve">Стойка стабилизатора передняя правая Tourismo,Travego, Setra 3/4-Series 82263680000 39253 2153401  0003200832 0003201132 </t>
  </si>
  <si>
    <t>.0003200532</t>
  </si>
  <si>
    <t>цена до 50тыс</t>
  </si>
  <si>
    <t>цена от 50тыс</t>
  </si>
  <si>
    <t>цена от 100тыс</t>
  </si>
  <si>
    <t>цена от 150тыс</t>
  </si>
  <si>
    <t>Втулка реактивной тяги стандартная МБ 302/303/304/305/325/340 3173331164</t>
  </si>
  <si>
    <t>Втулка реактивной штанги/ тяги МБ ремонтная ребристая 3173331164SEM 7915   D=97, d=54.5, h=40</t>
  </si>
  <si>
    <t>Втулка реактивной штанги/ тяги МБ ремонтная сплошная 3173331164 SEM 8346 HD 1002-FX   D97/D54/H40</t>
  </si>
  <si>
    <t>Втулка стабилизатора Мерседес SEM 8237 HD 3074 3143260153 3143260481 3093200073</t>
  </si>
  <si>
    <t>Втулка стабилизатора Мерседес SEM 8241 HD 3095 MB 3183200073</t>
  </si>
  <si>
    <t xml:space="preserve">Ремкомплект реактивной тяги Мерседес SEM 7767 HD 5289 0003300075 Bus MB </t>
  </si>
  <si>
    <t>Втулка стабилизатора Мерседес MB truck and Аксор Атего Актрос 0003237985 SEM 7962 HD 5318 Axor Atego</t>
  </si>
  <si>
    <t>Втулка стабилизатора заднего Мерседес Bus O 350 O 403 O 404 O 405 MB 0003264081 SEM 7844 HD 5346</t>
  </si>
  <si>
    <t>Втулка  стабилизатора Мерседес SEM 7445 МБ 3013260081 HD 5351</t>
  </si>
  <si>
    <t xml:space="preserve">Ремкомплект реактивной тяги  D=90 SEM 7825 HD 5391 Мерседес 0005860235 0005861833 0005861933 </t>
  </si>
  <si>
    <t>Втулка стабилизатора Мерседес MB403/404/350 SEM 7909 HD 5416  D=ø68 d=ø15 Ax=103 MB 3963260081</t>
  </si>
  <si>
    <t>Ремкомплект стабилизатора Мерседес  SEM 7924 HD 5474 MB 3873200328 6213200128 6213200011</t>
  </si>
  <si>
    <t>Втулка стабилизатора Мерседес  D=ø30 d=ø12 h=30 SEM 8238 HD 5524 MB 3093200073 6673200073</t>
  </si>
  <si>
    <t xml:space="preserve">Ремкомплект реактивной тяги Мерседес D=ø80 h=45 M 20x1.5 SEM 7826 HD 5542 MB 0003500505 0003500305 </t>
  </si>
  <si>
    <t>Ремкомплект стабилизатора задн Мерседес SEM 7923 HD 5562 MB 6523200511</t>
  </si>
  <si>
    <t>Втулка стабилизатора МАН D=78 d=60 h=60 SEM 7503 HD 9005 MAN 81437040061</t>
  </si>
  <si>
    <t>Втулка стабилизатора D=ø93 d=ø56 h=70 МАН Мерседес SEM 7504 HD 9006 MB 3963230050 MAN 81432710081</t>
  </si>
  <si>
    <t>Втулка стабилизатора D=ø67 d=ø22 h=62 МАН SEM 7622 HD 9053 MAN 81437220063 81437220039</t>
  </si>
  <si>
    <t>Втулка стабилизатора МАН D=ø45 d=ø16 h=42 SEM 7436 HD 9055 MAN 81432710008  81432710029</t>
  </si>
  <si>
    <t>Втулка стабилизатора МАН D=ø47 d=ø16 h=47 SEM 7545 HD 9057 MAN 81437220022 81437220038 81962100450</t>
  </si>
  <si>
    <t>Втулка стабилизатора МАН D=ø67 d=ø44 h=60 SEM 7502 HD 9061 MAN 81437040057</t>
  </si>
  <si>
    <t xml:space="preserve">Втулка стабилизатора МАН D=ø87 d=ø55 h=80 SEM 7531 HD 9062 MAN 81437040028 8143704045 </t>
  </si>
  <si>
    <t xml:space="preserve">Втулка рессоры МАН D=ø70 d=ø24 h=105 SEM 1026 HD 9089 MAN 81437220045 81437220062   </t>
  </si>
  <si>
    <t>Ремкомплект реактивной тяги MАН D=ø94 d=ø19 Ax=130 SEM 7604 HD 9094 MAN 81962100447 MAN DAF VOLVO</t>
  </si>
  <si>
    <t>Втулка стабилизатора МАН D=ø64 d=ø45 h=51 SEM 7808 HD 9097 MAN 81437040074</t>
  </si>
  <si>
    <t>Ремкомплект реактивной тяги D=ø90 d=ø23 Ax=152 МАН Вольво SEM 7852 HD 9101 273375 81432706083 81953016132MAN DAF SCANIA VOLVO</t>
  </si>
  <si>
    <t>Сайлентблок МАН D=ø47 d=ø21 Ax=101 SEM 7837 HD 9110 MAN 81962100452 81991648844 81962100511</t>
  </si>
  <si>
    <t>Втулка стабилизатора D=ø50 d=ø16 h=47 МАН SEM 7702 HD 9115 MAN 81437220059</t>
  </si>
  <si>
    <t>Ремкомплект подвески рычага-тяги МАН  D=ø72 d=ø19 Ax=130 SEM 8035 HD 9116 MAN DAF IVECO 81432206108</t>
  </si>
  <si>
    <t>Сайлентблок стабилизатора МАН D=ø37.5 d=ø14 h=51 SEM 7704 HD 9131 MAN81437040039 81960200286</t>
  </si>
  <si>
    <t>Ремкомплект реактивной тяги МАН D=ø90 h=60 M 24x1.5 SEM 7827 HD 9136 MAN 81953016132</t>
  </si>
  <si>
    <t>Втулка стабилизатора МАН D=ø76 d=ø43 h=50 SEM 8015 HD 9142 MAN TGA 81437040079</t>
  </si>
  <si>
    <t>Втулка стабилизатора переднего МАН  D=Ø27 h=50.5 SEM 8212 HD 9147 MAN 81962100278</t>
  </si>
  <si>
    <t>Ремкомплект реактивной тяги МАН Вольво D=ø72 h=45 M 20x1.5 SEM 7829 HD 9155 MAN 81432706065</t>
  </si>
  <si>
    <t>Ремкомплект реактивной тяги D=ø72 d=ø19 Ax=130 МАН Даф SEM 7736 HD 9187 81432206132  81432206108</t>
  </si>
  <si>
    <t>Втулка стабилизатора D=ø77 d=ø55 h=60 SEM 7532 HD 9188 МАН 81437040060</t>
  </si>
  <si>
    <t>Сайлентблок D=ø78 d=ø45 h=76 Неоплан SEM 7685 HD 9253 Neoplan 080155035</t>
  </si>
  <si>
    <t>Сайлентблок реактивной тяги задней подвески D=ø73 d=ø19 Ax=100 МАН TGA TGS TGX SEM 8498 HD 9254 MAN 81436350003</t>
  </si>
  <si>
    <t>Ремкомплект реактивной тяги D=90  Вольво SEM 8020 HD 14042 Volvo 3090712</t>
  </si>
  <si>
    <t>Ремкомплект реактивной тяги D=90 Вольво SEM 8523 HD 14078 Volvo 20840820</t>
  </si>
  <si>
    <t>Ремкомплект реактивной тяги Вольво SEM 8466 HD 14079 Volvo 20741710</t>
  </si>
  <si>
    <t>Ремкомплект V-образной тяги Вольво SEM 7828 HD 14086 Volvo 0273706</t>
  </si>
  <si>
    <t>Ремкомплект реактивной тяги Вольво ДАФ SEM 8619 HD 14087</t>
  </si>
  <si>
    <t>Ремкомплект реактивной тяги-сайлентблок SEM 7765 HD 15023 MB 350/403 0003501205 0003300410 D=75, D=19, AX=130</t>
  </si>
  <si>
    <t>Сайлентблок  Неоплан D=ø64 d=ø19 B=86 Ax:124 SEM 7633 HD 17001</t>
  </si>
  <si>
    <t>Сайлентблок Неоплан SEM 7632 HD 17005 080155019 D=ø64 d=ø19 B=72 Ax:124</t>
  </si>
  <si>
    <t>Сайлентблок Неоплан  D=64 d=36 h=76 080155038 SEM 7645 HD 17006</t>
  </si>
  <si>
    <t>Сайлентблок  Неоплан  D=60 d=32 h=66 080155037 SEM 7657 HD 17007</t>
  </si>
  <si>
    <t>Втулка  реактивной тяги Сетра SEM 7655 4.771.347.000D HD 18004 356655</t>
  </si>
  <si>
    <t>Ремкомплект подвески - сайлентблок Сетра 8226232066 82262320660 SEM 7593 7752 7335 HD 18005 0003500506</t>
  </si>
  <si>
    <t>Втулка 7652 Сетра 4771475000  C 4.771.318.000 HD 18010</t>
  </si>
  <si>
    <t>Втулка стабилизатора  Сетра SEM 7670 179231118001 HD 18012 179-23.11.180-01</t>
  </si>
  <si>
    <t>Втулка 7654 Сетра  4.771.477.000 SEM 7654 HD 18003</t>
  </si>
  <si>
    <t>Втулка 7775 Сетра  4771194000 4.771.194.000 SEM 7775 HD 18013</t>
  </si>
  <si>
    <t>Втулка 7776 Сетра SEM 7776 4771213000 4.771.213.000 HD 18014</t>
  </si>
  <si>
    <t>Втулка реактивной тяги SEM 7598 Сетра 8.226.296.070 8226296070</t>
  </si>
  <si>
    <t>Втулка рессоры SEM 7609 Неоплан 080155020</t>
  </si>
  <si>
    <t>Втулка стабилизатора 7671 Сетра SEM7671 7651 17923311500</t>
  </si>
  <si>
    <t>.04844</t>
  </si>
  <si>
    <t>Втулка стабилизатора MB350/403/404 D=ø65 d=ø37,5 h=60 SEM 7680 3563260081</t>
  </si>
  <si>
    <t>Втулка стабилизатора 7575 Ман / Рено RVI пластик 81437040026</t>
  </si>
  <si>
    <t>Втулка 7654 Сетра  4771477000 SEM 7654 HD 18003</t>
  </si>
  <si>
    <t>Втулка 7653 Сетра 4771476000  D 4771214000</t>
  </si>
  <si>
    <t>Втулка стабилизатора МАН SEM 7389 Ман 81432710074 , 81432710056</t>
  </si>
  <si>
    <t>Втулка 7672 стабилизатора   Сетра  SEM 7672  4771449000</t>
  </si>
  <si>
    <t>Втулка,рычаг стабилизатора центр оси MB 405/407/408 SEM 7772  0003301611</t>
  </si>
  <si>
    <t>Втулка стабилизатора Сетра SEM 7952 SEM7952 080741600 47713250000</t>
  </si>
  <si>
    <t>Сайлентблок Неоплан SEM 7933 D=78 d=30 h=78  082192400    36962100007 082192400   36962100007</t>
  </si>
  <si>
    <t>Ремкомплект подвески Неоплан SEM 7835 082750905  11015868  1101 5868</t>
  </si>
  <si>
    <t>Сайлентблок Неоплан SEM 7684 D=78 d=30 h=79</t>
  </si>
  <si>
    <t>Втулка V-образной тяги МB 403/404/350 D=67 d=15 Ax=115 SEM 7610 0003501005 0003300210</t>
  </si>
  <si>
    <t>Сайлентблок реактивной тяги Мерседес МБ 350.403.404  SEM7611 0003300310 6713300011 0003500905</t>
  </si>
  <si>
    <t>Сайлентблок с шайбой Неоплан 11014444 11014440 SEM 10448</t>
  </si>
  <si>
    <t>Сайлентблок задней подвески верхний Неоплан SEM 9040   11014444</t>
  </si>
  <si>
    <t>Ремкомплект реактивной тяги D=ø75 d=ø21 Ax=130 SEM 7636</t>
  </si>
  <si>
    <t>Ремкомплект подвески Сетра 4771227000 4771449000 SEM 9183</t>
  </si>
  <si>
    <t xml:space="preserve">Ремкомплект подвески Сетра SEM 9184 179233115004 </t>
  </si>
  <si>
    <t>Ремкомплект подвески Сетра 4771318000 4771475000 SEM 9186</t>
  </si>
  <si>
    <t>Втулка стабилизатора MB Citaro Travego Setra 415 SEM 9400 6283220050</t>
  </si>
  <si>
    <t>Ремкомплект  V-образной тяги SEM 7656 МБ 350/403 0003501005 0003300210 D=75 D=15 A=115 H=37</t>
  </si>
  <si>
    <t>Ремкомплект сайлентблок SEM 7613 (рычаг независимой подвески)МБ 350/403/404 0003300310</t>
  </si>
  <si>
    <t>Шаровая опора Мерседес 403,404,350 SEM 7612 D=49 L=104 0003300711</t>
  </si>
  <si>
    <t>Втулка стабилизатора SEM 7843 МБ 350/403 MB 3563230081</t>
  </si>
  <si>
    <t>Втулка стабилизатора D=ø60 d=ø45 h=60.5 SEM 7807 6583260581 6533260381</t>
  </si>
  <si>
    <t>Втулка рессоры МБ D=58, d=36, h=87 SEM 7586 6703200344 6703200444</t>
  </si>
  <si>
    <t>Втулка стабилизатора заднего Мерседес Аксор Атего Актрос MB 9423260050 SEM 7860 HD 5322 Axor Atego Actros</t>
  </si>
  <si>
    <t>Стойка стабилизатора Travego Integro Setra 400 0003200232 6323200432 0003200632 0003201032</t>
  </si>
  <si>
    <t>.0003201032</t>
  </si>
  <si>
    <t>Блок управления отопителя KS 50 0008350236</t>
  </si>
  <si>
    <t>KS50</t>
  </si>
  <si>
    <t>Цена руб</t>
  </si>
  <si>
    <t>все цены указаны с НДС</t>
  </si>
  <si>
    <t>Блок управления KS70 24v SG 1563 SG1563 89575 В</t>
  </si>
  <si>
    <t>Блок управления отопителя KS 60 SG1562 SG 1562</t>
  </si>
  <si>
    <t>KS60</t>
  </si>
  <si>
    <t>Блок управления MБ Сетра ЛИАЗ 5292 Webasto KS-80 24V SG 1572D 63482E SG1572D  0008204211 0004468929</t>
  </si>
  <si>
    <t xml:space="preserve">Источник высоковольтный напряжения к отопителю ЭЛТРА ТЕРМО ЛИАЗ МАЗ ПАЗ 141.8106-01 24 В </t>
  </si>
  <si>
    <t>Датчик пламени (Фотоэлемент-индикатор) DBW 2020/300/350/470 0008358406 84411263140 215171 23037</t>
  </si>
  <si>
    <t>Датчик пламени Thermo 230/300/350 DW230/300/350 0018353906 19970 23037 23037 1320504</t>
  </si>
  <si>
    <t>Жгут проводов отопителя Webasto DBW 2020/300/350 0015465514</t>
  </si>
  <si>
    <t>Камера сгорания  отопителя DBW 2020/300  342.637  KS2020-80  Ф80</t>
  </si>
  <si>
    <t>Модуль поджига Webasto Thermo 230/300/350 преобразователь 2710213С 11113935A</t>
  </si>
  <si>
    <t>Мотор 24В (для отопителя Вебасто DBW 2020 / 300 / 350</t>
  </si>
  <si>
    <t>Двигатель (электромотор) отопителя Webasto Termo 300/350 70870B   21318A</t>
  </si>
  <si>
    <t>Модуль поджига DBW 2020/300/350 ТРП  388.815  388815 0008211263</t>
  </si>
  <si>
    <t>Модуль поджига  ТН 300 DBW 230/300/350 ТРП  148.45С   14845С 0008221521</t>
  </si>
  <si>
    <t>Модуль поджига отопителя ТН 200 Е320  11114862А</t>
  </si>
  <si>
    <t>Модуль поджига отопителя Hydronik 24/30/35 251818150300 2518189915100 251818151000</t>
  </si>
  <si>
    <t>Насос топливный отопителя MB350/403 Setra 415/417 Spheros 11112778C 11112615A  THERMO 230/300/350 72030A 72019 0028351364 0024703894 11114892B</t>
  </si>
  <si>
    <t>Насос топливный отопителя 10 bar MB350/403/345 65515A DBW2010/2012TRS/2020/300/350/Sensoric720.27B 72027B 0014706194</t>
  </si>
  <si>
    <t>Подшипник 608Z  (закрытый) отопителя  624.82Е  62482Е</t>
  </si>
  <si>
    <t>Предохранитель температурный  рабочий  148.83А  14883А</t>
  </si>
  <si>
    <t>Предохранитель 138C Webasto DBW 2010/2020/300/350 sensoric 497142 0008211664 180226201 497142Z</t>
  </si>
  <si>
    <t>Предохранитель Webasto (Германия)  406287 Q8.441.187.4690 0008210364</t>
  </si>
  <si>
    <t>Предохранитель температурный  Thermo DBW 230/300/350 Webasto 14.945A 14945</t>
  </si>
  <si>
    <t>Реле стартера втягивающее KM 60  24V 0331450001 Monark 183450001 MB 435/O350/O303/O407</t>
  </si>
  <si>
    <t>Реле стартера удерживающее KM64 24V Bosch 0331101006Monark 083101006 старый код 183101006 435/O303/O407UE</t>
  </si>
  <si>
    <t>Сцепление отопителя полумуфта 2020  397.563   397563</t>
  </si>
  <si>
    <t>Сцепление отопителяТермо 300/350  206.54А  20654А</t>
  </si>
  <si>
    <t>20654A</t>
  </si>
  <si>
    <t>Термостат рабочий отопителя 2020  75С 354.902   354902</t>
  </si>
  <si>
    <t>Термостат аварийный отопителя 2020 117С 408.719  2020  408719 0038207010 0028204410</t>
  </si>
  <si>
    <t>Датчик отопителя (термостат) рабочий 78-73С Сирокко М22 (зеленый)</t>
  </si>
  <si>
    <t>Датчик отопителя аварийный (термостат) 98-83С М22 Сирокко (красный)</t>
  </si>
  <si>
    <t>35824A</t>
  </si>
  <si>
    <t>43308A</t>
  </si>
  <si>
    <t>Термостат рабочий отопителя DW300  149.13A  14913A</t>
  </si>
  <si>
    <t>Термостат рабочий отопителя Webasto 14.941A DBW Thermo 230/300/350  14941A</t>
  </si>
  <si>
    <t>Теплообменник водяной ф70  DW2020/300/350  469.084 W2020  469084</t>
  </si>
  <si>
    <t>Фильтр топливный автономного отопителя Webasto (Вебасто) 0000922705 0008352647 81125030039</t>
  </si>
  <si>
    <t>Электрод отопителя ТН300  148.46В  14846В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</si>
</sst>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[$р.-419]_-;\-* #,##0.00[$р.-419]_-;_-* &quot;-&quot;??[$р.-419]_-;_-@_-"/>
  </numFmts>
  <fonts count="17" x14ac:knownFonts="1">
    <font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i/>
      <u/>
      <sz val="10"/>
      <name val="Arial Cyr"/>
      <charset val="204"/>
    </font>
    <font>
      <sz val="10"/>
      <name val="Verdana"/>
      <family val="2"/>
      <charset val="204"/>
    </font>
    <font>
      <b/>
      <i/>
      <sz val="14"/>
      <name val="Times New Roman"/>
      <family val="1"/>
      <charset val="204"/>
    </font>
    <font>
      <b/>
      <i/>
      <sz val="10"/>
      <name val="Arial Cyr"/>
      <charset val="204"/>
    </font>
    <font>
      <b/>
      <i/>
      <u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9"/>
      <color rgb="FFFF0000"/>
      <name val="Arial Cyr"/>
      <charset val="204"/>
    </font>
    <font>
      <b/>
      <sz val="8"/>
      <name val="Arial Cyr"/>
      <charset val="204"/>
    </font>
    <font>
      <b/>
      <i/>
      <sz val="12"/>
      <name val="Arial Cyr"/>
      <charset val="204"/>
    </font>
    <font>
      <sz val="10"/>
      <color theme="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/>
    <xf numFmtId="0" fontId="0" fillId="0" borderId="1" xfId="0" applyBorder="1"/>
    <xf numFmtId="0" fontId="3" fillId="0" borderId="0" xfId="0" applyFont="1"/>
    <xf numFmtId="166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right"/>
    </xf>
    <xf numFmtId="0" fontId="7" fillId="0" borderId="0" xfId="0" applyFont="1"/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2" borderId="1" xfId="0" applyFill="1" applyBorder="1"/>
    <xf numFmtId="166" fontId="4" fillId="2" borderId="1" xfId="0" applyNumberFormat="1" applyFont="1" applyFill="1" applyBorder="1"/>
    <xf numFmtId="0" fontId="0" fillId="2" borderId="1" xfId="0" applyNumberFormat="1" applyFill="1" applyBorder="1"/>
    <xf numFmtId="2" fontId="0" fillId="2" borderId="1" xfId="0" applyNumberFormat="1" applyFill="1" applyBorder="1"/>
    <xf numFmtId="0" fontId="1" fillId="0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0" borderId="3" xfId="0" applyFont="1" applyFill="1" applyBorder="1"/>
    <xf numFmtId="0" fontId="0" fillId="0" borderId="3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" fillId="0" borderId="1" xfId="0" applyFont="1" applyFill="1" applyBorder="1" applyAlignment="1"/>
    <xf numFmtId="1" fontId="0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/>
    <xf numFmtId="0" fontId="1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ont="1" applyBorder="1"/>
    <xf numFmtId="0" fontId="8" fillId="0" borderId="1" xfId="0" applyFont="1" applyBorder="1"/>
    <xf numFmtId="0" fontId="2" fillId="0" borderId="0" xfId="0" applyFont="1"/>
    <xf numFmtId="1" fontId="0" fillId="0" borderId="1" xfId="0" applyNumberFormat="1" applyBorder="1"/>
    <xf numFmtId="1" fontId="8" fillId="0" borderId="1" xfId="0" applyNumberFormat="1" applyFont="1" applyBorder="1"/>
    <xf numFmtId="1" fontId="0" fillId="0" borderId="1" xfId="2" applyNumberFormat="1" applyFont="1" applyBorder="1"/>
    <xf numFmtId="1" fontId="0" fillId="0" borderId="1" xfId="1" applyNumberFormat="1" applyFont="1" applyBorder="1" applyAlignment="1"/>
    <xf numFmtId="1" fontId="0" fillId="0" borderId="0" xfId="0" applyNumberFormat="1"/>
    <xf numFmtId="0" fontId="0" fillId="0" borderId="0" xfId="0" applyFont="1" applyAlignment="1">
      <alignment vertical="center"/>
    </xf>
    <xf numFmtId="3" fontId="0" fillId="0" borderId="1" xfId="0" applyNumberFormat="1" applyBorder="1" applyAlignment="1">
      <alignment horizontal="right"/>
    </xf>
    <xf numFmtId="1" fontId="0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2" xfId="0" applyFont="1" applyFill="1" applyBorder="1"/>
    <xf numFmtId="0" fontId="12" fillId="0" borderId="0" xfId="0" applyFont="1"/>
    <xf numFmtId="1" fontId="0" fillId="0" borderId="2" xfId="0" applyNumberFormat="1" applyBorder="1"/>
    <xf numFmtId="0" fontId="15" fillId="0" borderId="0" xfId="0" applyFont="1"/>
    <xf numFmtId="0" fontId="16" fillId="0" borderId="0" xfId="0" applyFont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81"/>
  <sheetViews>
    <sheetView tabSelected="1" topLeftCell="A1152" workbookViewId="0">
      <selection activeCell="D1162" sqref="D1162"/>
    </sheetView>
  </sheetViews>
  <sheetFormatPr defaultRowHeight="12.75" x14ac:dyDescent="0.2"/>
  <cols>
    <col min="1" max="1" width="8.5703125" customWidth="1"/>
    <col min="2" max="2" width="23.5703125" customWidth="1"/>
    <col min="3" max="3" width="16.5703125" style="29" customWidth="1"/>
    <col min="4" max="4" width="116.7109375" customWidth="1"/>
    <col min="5" max="5" width="13.85546875" customWidth="1"/>
    <col min="6" max="6" width="17.140625" customWidth="1"/>
    <col min="7" max="7" width="14.28515625" customWidth="1"/>
    <col min="8" max="8" width="14.140625" customWidth="1"/>
  </cols>
  <sheetData>
    <row r="2" spans="1:8" x14ac:dyDescent="0.2">
      <c r="D2" s="4" t="s">
        <v>2462</v>
      </c>
    </row>
    <row r="3" spans="1:8" x14ac:dyDescent="0.2">
      <c r="D3" s="4" t="s">
        <v>0</v>
      </c>
    </row>
    <row r="4" spans="1:8" x14ac:dyDescent="0.2">
      <c r="D4" s="4" t="s">
        <v>1</v>
      </c>
    </row>
    <row r="5" spans="1:8" x14ac:dyDescent="0.2">
      <c r="D5" s="10" t="s">
        <v>24</v>
      </c>
    </row>
    <row r="6" spans="1:8" x14ac:dyDescent="0.2">
      <c r="D6" s="4" t="s">
        <v>13</v>
      </c>
    </row>
    <row r="7" spans="1:8" x14ac:dyDescent="0.2">
      <c r="D7" s="4" t="s">
        <v>2</v>
      </c>
    </row>
    <row r="10" spans="1:8" x14ac:dyDescent="0.2">
      <c r="D10" s="8"/>
    </row>
    <row r="12" spans="1:8" x14ac:dyDescent="0.2">
      <c r="D12" s="2"/>
      <c r="E12" s="53">
        <v>74</v>
      </c>
    </row>
    <row r="13" spans="1:8" x14ac:dyDescent="0.2">
      <c r="D13" s="2"/>
    </row>
    <row r="14" spans="1:8" x14ac:dyDescent="0.2">
      <c r="A14" s="3" t="s">
        <v>4</v>
      </c>
      <c r="B14" s="3" t="s">
        <v>16</v>
      </c>
      <c r="C14" s="31"/>
      <c r="D14" s="1" t="s">
        <v>3</v>
      </c>
      <c r="E14" s="3" t="s">
        <v>2461</v>
      </c>
      <c r="F14" s="3" t="s">
        <v>2458</v>
      </c>
      <c r="G14" s="33" t="s">
        <v>2459</v>
      </c>
      <c r="H14" s="31" t="s">
        <v>2460</v>
      </c>
    </row>
    <row r="15" spans="1:8" x14ac:dyDescent="0.2">
      <c r="A15" s="3">
        <v>1</v>
      </c>
      <c r="B15" s="9" t="s">
        <v>155</v>
      </c>
      <c r="C15" s="32" t="s">
        <v>1294</v>
      </c>
      <c r="D15" s="1" t="s">
        <v>1299</v>
      </c>
      <c r="E15" s="36">
        <f>E12*56.94</f>
        <v>4213.5599999999995</v>
      </c>
      <c r="F15" s="36">
        <f>E15-E15*5%</f>
        <v>4002.8819999999996</v>
      </c>
      <c r="G15" s="26">
        <f>E15-E15*10%</f>
        <v>3792.2039999999997</v>
      </c>
      <c r="H15" s="26">
        <f>E15-E15*15%</f>
        <v>3581.5259999999998</v>
      </c>
    </row>
    <row r="16" spans="1:8" x14ac:dyDescent="0.2">
      <c r="A16" s="3">
        <f>A15+1</f>
        <v>2</v>
      </c>
      <c r="B16" s="9" t="s">
        <v>337</v>
      </c>
      <c r="C16" s="32">
        <v>3003260300</v>
      </c>
      <c r="D16" s="1" t="s">
        <v>1295</v>
      </c>
      <c r="E16" s="36">
        <f>56.94*E12</f>
        <v>4213.5599999999995</v>
      </c>
      <c r="F16" s="36">
        <f t="shared" ref="F16:F65" si="0">E16-E16*5%</f>
        <v>4002.8819999999996</v>
      </c>
      <c r="G16" s="26">
        <f t="shared" ref="G16:G65" si="1">E16-E16*10%</f>
        <v>3792.2039999999997</v>
      </c>
      <c r="H16" s="26">
        <f t="shared" ref="H16:H65" si="2">E16-E16*15%</f>
        <v>3581.5259999999998</v>
      </c>
    </row>
    <row r="17" spans="1:8" x14ac:dyDescent="0.2">
      <c r="A17" s="31">
        <f t="shared" ref="A17:A80" si="3">A16+1</f>
        <v>3</v>
      </c>
      <c r="B17" s="9" t="s">
        <v>1216</v>
      </c>
      <c r="C17" s="32">
        <v>3563230200</v>
      </c>
      <c r="D17" s="1" t="s">
        <v>1296</v>
      </c>
      <c r="E17" s="3">
        <f>E12*120</f>
        <v>8880</v>
      </c>
      <c r="F17" s="36">
        <f t="shared" si="0"/>
        <v>8436</v>
      </c>
      <c r="G17" s="26">
        <f t="shared" si="1"/>
        <v>7992</v>
      </c>
      <c r="H17" s="26">
        <f t="shared" si="2"/>
        <v>7548</v>
      </c>
    </row>
    <row r="18" spans="1:8" x14ac:dyDescent="0.2">
      <c r="A18" s="31">
        <f t="shared" si="3"/>
        <v>4</v>
      </c>
      <c r="B18" s="9" t="s">
        <v>1293</v>
      </c>
      <c r="C18" s="32">
        <v>8231355000</v>
      </c>
      <c r="D18" s="1" t="s">
        <v>1297</v>
      </c>
      <c r="E18" s="36">
        <f>E12*59.38</f>
        <v>4394.12</v>
      </c>
      <c r="F18" s="36">
        <f t="shared" si="0"/>
        <v>4174.4139999999998</v>
      </c>
      <c r="G18" s="26">
        <f t="shared" si="1"/>
        <v>3954.7079999999996</v>
      </c>
      <c r="H18" s="26">
        <f t="shared" si="2"/>
        <v>3735.002</v>
      </c>
    </row>
    <row r="19" spans="1:8" s="29" customFormat="1" x14ac:dyDescent="0.2">
      <c r="A19" s="31">
        <f t="shared" si="3"/>
        <v>5</v>
      </c>
      <c r="B19" s="32" t="s">
        <v>1280</v>
      </c>
      <c r="C19" s="32">
        <v>3003260300</v>
      </c>
      <c r="D19" s="30" t="s">
        <v>1298</v>
      </c>
      <c r="E19" s="31">
        <f>E12*52</f>
        <v>3848</v>
      </c>
      <c r="F19" s="36">
        <f t="shared" si="0"/>
        <v>3655.6</v>
      </c>
      <c r="G19" s="26">
        <f t="shared" si="1"/>
        <v>3463.2</v>
      </c>
      <c r="H19" s="26">
        <f t="shared" si="2"/>
        <v>3270.8</v>
      </c>
    </row>
    <row r="20" spans="1:8" x14ac:dyDescent="0.2">
      <c r="A20" s="31">
        <f t="shared" si="3"/>
        <v>6</v>
      </c>
      <c r="B20" s="9" t="s">
        <v>395</v>
      </c>
      <c r="C20" s="32" t="s">
        <v>1300</v>
      </c>
      <c r="D20" s="1" t="s">
        <v>394</v>
      </c>
      <c r="E20" s="3">
        <f>E12*62</f>
        <v>4588</v>
      </c>
      <c r="F20" s="36">
        <f t="shared" si="0"/>
        <v>4358.6000000000004</v>
      </c>
      <c r="G20" s="26">
        <f t="shared" si="1"/>
        <v>4129.2</v>
      </c>
      <c r="H20" s="26">
        <f t="shared" si="2"/>
        <v>3899.8</v>
      </c>
    </row>
    <row r="21" spans="1:8" x14ac:dyDescent="0.2">
      <c r="A21" s="31">
        <f t="shared" si="3"/>
        <v>7</v>
      </c>
      <c r="B21" s="9" t="s">
        <v>478</v>
      </c>
      <c r="C21" s="32" t="s">
        <v>1301</v>
      </c>
      <c r="D21" s="1" t="s">
        <v>394</v>
      </c>
      <c r="E21" s="36">
        <f>E12*72.32</f>
        <v>5351.6799999999994</v>
      </c>
      <c r="F21" s="36">
        <f t="shared" si="0"/>
        <v>5084.0959999999995</v>
      </c>
      <c r="G21" s="26">
        <f t="shared" si="1"/>
        <v>4816.5119999999997</v>
      </c>
      <c r="H21" s="26">
        <f t="shared" si="2"/>
        <v>4548.9279999999999</v>
      </c>
    </row>
    <row r="22" spans="1:8" x14ac:dyDescent="0.2">
      <c r="A22" s="31">
        <f t="shared" si="3"/>
        <v>8</v>
      </c>
      <c r="B22" s="9" t="s">
        <v>397</v>
      </c>
      <c r="C22" s="32" t="s">
        <v>1302</v>
      </c>
      <c r="D22" s="1" t="s">
        <v>396</v>
      </c>
      <c r="E22" s="36">
        <f>E12*68.66</f>
        <v>5080.84</v>
      </c>
      <c r="F22" s="36">
        <f t="shared" si="0"/>
        <v>4826.7979999999998</v>
      </c>
      <c r="G22" s="26">
        <f t="shared" si="1"/>
        <v>4572.7560000000003</v>
      </c>
      <c r="H22" s="26">
        <f t="shared" si="2"/>
        <v>4318.7139999999999</v>
      </c>
    </row>
    <row r="23" spans="1:8" x14ac:dyDescent="0.2">
      <c r="A23" s="31">
        <f t="shared" si="3"/>
        <v>9</v>
      </c>
      <c r="B23" s="9" t="s">
        <v>399</v>
      </c>
      <c r="C23" s="32">
        <v>81437016388</v>
      </c>
      <c r="D23" s="1" t="s">
        <v>398</v>
      </c>
      <c r="E23" s="36">
        <f>E12*77.35</f>
        <v>5723.9</v>
      </c>
      <c r="F23" s="36">
        <f t="shared" si="0"/>
        <v>5437.7049999999999</v>
      </c>
      <c r="G23" s="26">
        <f t="shared" si="1"/>
        <v>5151.5099999999993</v>
      </c>
      <c r="H23" s="26">
        <f t="shared" si="2"/>
        <v>4865.3149999999996</v>
      </c>
    </row>
    <row r="24" spans="1:8" x14ac:dyDescent="0.2">
      <c r="A24" s="31">
        <f t="shared" si="3"/>
        <v>10</v>
      </c>
      <c r="B24" s="9" t="s">
        <v>401</v>
      </c>
      <c r="C24" s="32">
        <v>81437016572</v>
      </c>
      <c r="D24" s="1" t="s">
        <v>400</v>
      </c>
      <c r="E24" s="36">
        <f>E12*75.41</f>
        <v>5580.34</v>
      </c>
      <c r="F24" s="36">
        <f t="shared" si="0"/>
        <v>5301.3230000000003</v>
      </c>
      <c r="G24" s="26">
        <f t="shared" si="1"/>
        <v>5022.3060000000005</v>
      </c>
      <c r="H24" s="26">
        <f t="shared" si="2"/>
        <v>4743.2889999999998</v>
      </c>
    </row>
    <row r="25" spans="1:8" x14ac:dyDescent="0.2">
      <c r="A25" s="31">
        <f t="shared" si="3"/>
        <v>11</v>
      </c>
      <c r="B25" s="9" t="s">
        <v>485</v>
      </c>
      <c r="C25" s="32">
        <v>81437016597</v>
      </c>
      <c r="D25" s="1" t="s">
        <v>484</v>
      </c>
      <c r="E25" s="36">
        <f>E12*68.76</f>
        <v>5088.2400000000007</v>
      </c>
      <c r="F25" s="36">
        <f t="shared" si="0"/>
        <v>4833.8280000000004</v>
      </c>
      <c r="G25" s="26">
        <f t="shared" si="1"/>
        <v>4579.4160000000011</v>
      </c>
      <c r="H25" s="26">
        <f t="shared" si="2"/>
        <v>4325.0040000000008</v>
      </c>
    </row>
    <row r="26" spans="1:8" x14ac:dyDescent="0.2">
      <c r="A26" s="31">
        <f t="shared" si="3"/>
        <v>12</v>
      </c>
      <c r="B26" s="9" t="s">
        <v>403</v>
      </c>
      <c r="C26" s="32">
        <v>81437016905</v>
      </c>
      <c r="D26" s="1" t="s">
        <v>402</v>
      </c>
      <c r="E26" s="36">
        <f>E12*77.75</f>
        <v>5753.5</v>
      </c>
      <c r="F26" s="36">
        <f t="shared" si="0"/>
        <v>5465.8249999999998</v>
      </c>
      <c r="G26" s="26">
        <f t="shared" si="1"/>
        <v>5178.1499999999996</v>
      </c>
      <c r="H26" s="26">
        <f t="shared" si="2"/>
        <v>4890.4750000000004</v>
      </c>
    </row>
    <row r="27" spans="1:8" x14ac:dyDescent="0.2">
      <c r="A27" s="31">
        <f t="shared" si="3"/>
        <v>13</v>
      </c>
      <c r="B27" s="9" t="s">
        <v>404</v>
      </c>
      <c r="C27" s="32">
        <v>81437016902</v>
      </c>
      <c r="D27" s="1" t="s">
        <v>402</v>
      </c>
      <c r="E27" s="36">
        <f>E12*73.31</f>
        <v>5424.9400000000005</v>
      </c>
      <c r="F27" s="36">
        <f t="shared" si="0"/>
        <v>5153.6930000000002</v>
      </c>
      <c r="G27" s="26">
        <f t="shared" si="1"/>
        <v>4882.4460000000008</v>
      </c>
      <c r="H27" s="26">
        <f t="shared" si="2"/>
        <v>4611.1990000000005</v>
      </c>
    </row>
    <row r="28" spans="1:8" x14ac:dyDescent="0.2">
      <c r="A28" s="31">
        <f t="shared" si="3"/>
        <v>14</v>
      </c>
      <c r="B28" s="9" t="s">
        <v>593</v>
      </c>
      <c r="C28" s="32">
        <v>81437016787</v>
      </c>
      <c r="D28" s="1" t="s">
        <v>790</v>
      </c>
      <c r="E28" s="36">
        <f>E12*95.6</f>
        <v>7074.4</v>
      </c>
      <c r="F28" s="36">
        <f t="shared" si="0"/>
        <v>6720.6799999999994</v>
      </c>
      <c r="G28" s="26">
        <f t="shared" si="1"/>
        <v>6366.9599999999991</v>
      </c>
      <c r="H28" s="26">
        <f t="shared" si="2"/>
        <v>6013.24</v>
      </c>
    </row>
    <row r="29" spans="1:8" x14ac:dyDescent="0.2">
      <c r="A29" s="31">
        <f t="shared" si="3"/>
        <v>15</v>
      </c>
      <c r="B29" s="9" t="s">
        <v>594</v>
      </c>
      <c r="C29" s="32">
        <v>81437016923</v>
      </c>
      <c r="D29" s="1" t="s">
        <v>791</v>
      </c>
      <c r="E29" s="36">
        <f>E12*122</f>
        <v>9028</v>
      </c>
      <c r="F29" s="36">
        <f t="shared" si="0"/>
        <v>8576.6</v>
      </c>
      <c r="G29" s="26">
        <f t="shared" si="1"/>
        <v>8125.2</v>
      </c>
      <c r="H29" s="26">
        <f t="shared" si="2"/>
        <v>7673.8</v>
      </c>
    </row>
    <row r="30" spans="1:8" x14ac:dyDescent="0.2">
      <c r="A30" s="31">
        <f t="shared" si="3"/>
        <v>16</v>
      </c>
      <c r="B30" s="9" t="s">
        <v>406</v>
      </c>
      <c r="C30" s="32" t="s">
        <v>1303</v>
      </c>
      <c r="D30" s="1" t="s">
        <v>405</v>
      </c>
      <c r="E30" s="36">
        <f>E12*71</f>
        <v>5254</v>
      </c>
      <c r="F30" s="36">
        <f t="shared" si="0"/>
        <v>4991.3</v>
      </c>
      <c r="G30" s="26">
        <f t="shared" si="1"/>
        <v>4728.6000000000004</v>
      </c>
      <c r="H30" s="26">
        <f t="shared" si="2"/>
        <v>4465.8999999999996</v>
      </c>
    </row>
    <row r="31" spans="1:8" x14ac:dyDescent="0.2">
      <c r="A31" s="31">
        <f t="shared" si="3"/>
        <v>17</v>
      </c>
      <c r="B31" s="9" t="s">
        <v>408</v>
      </c>
      <c r="C31" s="32" t="s">
        <v>1304</v>
      </c>
      <c r="D31" s="1" t="s">
        <v>407</v>
      </c>
      <c r="E31" s="36">
        <f>E12*58.94</f>
        <v>4361.5599999999995</v>
      </c>
      <c r="F31" s="36">
        <f t="shared" si="0"/>
        <v>4143.482</v>
      </c>
      <c r="G31" s="26">
        <f t="shared" si="1"/>
        <v>3925.4039999999995</v>
      </c>
      <c r="H31" s="26">
        <f t="shared" si="2"/>
        <v>3707.3259999999996</v>
      </c>
    </row>
    <row r="32" spans="1:8" x14ac:dyDescent="0.2">
      <c r="A32" s="31">
        <f t="shared" si="3"/>
        <v>18</v>
      </c>
      <c r="B32" s="9" t="s">
        <v>588</v>
      </c>
      <c r="C32" s="32" t="s">
        <v>1305</v>
      </c>
      <c r="D32" s="1" t="s">
        <v>589</v>
      </c>
      <c r="E32" s="36">
        <f>E12*64.42</f>
        <v>4767.08</v>
      </c>
      <c r="F32" s="36">
        <f t="shared" si="0"/>
        <v>4528.7259999999997</v>
      </c>
      <c r="G32" s="26">
        <f t="shared" si="1"/>
        <v>4290.3720000000003</v>
      </c>
      <c r="H32" s="26">
        <f t="shared" si="2"/>
        <v>4052.018</v>
      </c>
    </row>
    <row r="33" spans="1:8" x14ac:dyDescent="0.2">
      <c r="A33" s="31">
        <f t="shared" si="3"/>
        <v>19</v>
      </c>
      <c r="B33" s="9" t="s">
        <v>595</v>
      </c>
      <c r="C33" s="32">
        <v>3293260000</v>
      </c>
      <c r="D33" s="1" t="s">
        <v>1166</v>
      </c>
      <c r="E33" s="36">
        <f>E12*98.37</f>
        <v>7279.38</v>
      </c>
      <c r="F33" s="36">
        <f t="shared" si="0"/>
        <v>6915.4110000000001</v>
      </c>
      <c r="G33" s="26">
        <f t="shared" si="1"/>
        <v>6551.442</v>
      </c>
      <c r="H33" s="26">
        <f t="shared" si="2"/>
        <v>6187.473</v>
      </c>
    </row>
    <row r="34" spans="1:8" x14ac:dyDescent="0.2">
      <c r="A34" s="31">
        <f t="shared" si="3"/>
        <v>20</v>
      </c>
      <c r="B34" s="9" t="s">
        <v>410</v>
      </c>
      <c r="C34" s="32">
        <v>1628103</v>
      </c>
      <c r="D34" s="1" t="s">
        <v>409</v>
      </c>
      <c r="E34" s="36">
        <f>E12*78.17</f>
        <v>5784.58</v>
      </c>
      <c r="F34" s="36">
        <f t="shared" si="0"/>
        <v>5495.3509999999997</v>
      </c>
      <c r="G34" s="26">
        <f t="shared" si="1"/>
        <v>5206.1220000000003</v>
      </c>
      <c r="H34" s="26">
        <f t="shared" si="2"/>
        <v>4916.893</v>
      </c>
    </row>
    <row r="35" spans="1:8" x14ac:dyDescent="0.2">
      <c r="A35" s="31">
        <f t="shared" si="3"/>
        <v>21</v>
      </c>
      <c r="B35" s="9" t="s">
        <v>412</v>
      </c>
      <c r="C35" s="32">
        <v>3987958</v>
      </c>
      <c r="D35" s="1" t="s">
        <v>411</v>
      </c>
      <c r="E35" s="36">
        <f>E12*61.05</f>
        <v>4517.7</v>
      </c>
      <c r="F35" s="36">
        <f t="shared" si="0"/>
        <v>4291.8149999999996</v>
      </c>
      <c r="G35" s="26">
        <f t="shared" si="1"/>
        <v>4065.93</v>
      </c>
      <c r="H35" s="26">
        <f t="shared" si="2"/>
        <v>3840.0450000000001</v>
      </c>
    </row>
    <row r="36" spans="1:8" x14ac:dyDescent="0.2">
      <c r="A36" s="31">
        <f t="shared" si="3"/>
        <v>22</v>
      </c>
      <c r="B36" s="9" t="s">
        <v>548</v>
      </c>
      <c r="C36" s="32">
        <v>100210300</v>
      </c>
      <c r="D36" s="1" t="s">
        <v>547</v>
      </c>
      <c r="E36" s="36">
        <f>E12*106.5</f>
        <v>7881</v>
      </c>
      <c r="F36" s="36">
        <f t="shared" si="0"/>
        <v>7486.95</v>
      </c>
      <c r="G36" s="26">
        <f t="shared" si="1"/>
        <v>7092.9</v>
      </c>
      <c r="H36" s="26">
        <f t="shared" si="2"/>
        <v>6698.85</v>
      </c>
    </row>
    <row r="37" spans="1:8" x14ac:dyDescent="0.2">
      <c r="A37" s="31">
        <f t="shared" si="3"/>
        <v>23</v>
      </c>
      <c r="B37" s="9">
        <v>168105</v>
      </c>
      <c r="C37" s="32">
        <v>3732407048</v>
      </c>
      <c r="D37" s="1" t="s">
        <v>430</v>
      </c>
      <c r="E37" s="36">
        <f>E12*43.08</f>
        <v>3187.92</v>
      </c>
      <c r="F37" s="36">
        <f t="shared" si="0"/>
        <v>3028.5239999999999</v>
      </c>
      <c r="G37" s="26">
        <f t="shared" si="1"/>
        <v>2869.1280000000002</v>
      </c>
      <c r="H37" s="26">
        <f t="shared" si="2"/>
        <v>2709.732</v>
      </c>
    </row>
    <row r="38" spans="1:8" x14ac:dyDescent="0.2">
      <c r="A38" s="31">
        <f t="shared" si="3"/>
        <v>24</v>
      </c>
      <c r="B38" s="9" t="s">
        <v>414</v>
      </c>
      <c r="C38" s="32">
        <v>3732407048</v>
      </c>
      <c r="D38" s="1" t="s">
        <v>413</v>
      </c>
      <c r="E38" s="36">
        <f>E12*40.15</f>
        <v>2971.1</v>
      </c>
      <c r="F38" s="36">
        <f t="shared" si="0"/>
        <v>2822.5450000000001</v>
      </c>
      <c r="G38" s="26">
        <f t="shared" si="1"/>
        <v>2673.99</v>
      </c>
      <c r="H38" s="26">
        <f t="shared" si="2"/>
        <v>2525.4349999999999</v>
      </c>
    </row>
    <row r="39" spans="1:8" x14ac:dyDescent="0.2">
      <c r="A39" s="31">
        <f t="shared" si="3"/>
        <v>25</v>
      </c>
      <c r="B39" s="9" t="s">
        <v>476</v>
      </c>
      <c r="C39" s="32" t="s">
        <v>1306</v>
      </c>
      <c r="D39" s="1" t="s">
        <v>477</v>
      </c>
      <c r="E39" s="36">
        <f>E12*50.7</f>
        <v>3751.8</v>
      </c>
      <c r="F39" s="36">
        <f t="shared" si="0"/>
        <v>3564.21</v>
      </c>
      <c r="G39" s="26">
        <f t="shared" si="1"/>
        <v>3376.62</v>
      </c>
      <c r="H39" s="26">
        <f t="shared" si="2"/>
        <v>3189.03</v>
      </c>
    </row>
    <row r="40" spans="1:8" x14ac:dyDescent="0.2">
      <c r="A40" s="31">
        <f t="shared" si="3"/>
        <v>26</v>
      </c>
      <c r="B40" s="9" t="s">
        <v>416</v>
      </c>
      <c r="C40" s="32">
        <v>1629721</v>
      </c>
      <c r="D40" s="1" t="s">
        <v>415</v>
      </c>
      <c r="E40" s="36">
        <f>E12*59.15</f>
        <v>4377.0999999999995</v>
      </c>
      <c r="F40" s="36">
        <f t="shared" si="0"/>
        <v>4158.2449999999999</v>
      </c>
      <c r="G40" s="26">
        <f t="shared" si="1"/>
        <v>3939.3899999999994</v>
      </c>
      <c r="H40" s="26">
        <f t="shared" si="2"/>
        <v>3720.5349999999994</v>
      </c>
    </row>
    <row r="41" spans="1:8" x14ac:dyDescent="0.2">
      <c r="A41" s="31">
        <f t="shared" si="3"/>
        <v>27</v>
      </c>
      <c r="B41" s="9" t="s">
        <v>418</v>
      </c>
      <c r="C41" s="32">
        <v>1075478</v>
      </c>
      <c r="D41" s="1" t="s">
        <v>417</v>
      </c>
      <c r="E41" s="36">
        <f>E12*59.15</f>
        <v>4377.0999999999995</v>
      </c>
      <c r="F41" s="36">
        <f t="shared" si="0"/>
        <v>4158.2449999999999</v>
      </c>
      <c r="G41" s="26">
        <f t="shared" si="1"/>
        <v>3939.3899999999994</v>
      </c>
      <c r="H41" s="26">
        <f t="shared" si="2"/>
        <v>3720.5349999999994</v>
      </c>
    </row>
    <row r="42" spans="1:8" x14ac:dyDescent="0.2">
      <c r="A42" s="31">
        <f t="shared" si="3"/>
        <v>28</v>
      </c>
      <c r="B42" s="9" t="s">
        <v>1122</v>
      </c>
      <c r="C42" s="32">
        <v>8233190000</v>
      </c>
      <c r="D42" s="1" t="s">
        <v>1013</v>
      </c>
      <c r="E42" s="36">
        <f>E12*15.15</f>
        <v>1121.1000000000001</v>
      </c>
      <c r="F42" s="36">
        <f t="shared" si="0"/>
        <v>1065.0450000000001</v>
      </c>
      <c r="G42" s="26">
        <f t="shared" si="1"/>
        <v>1008.9900000000001</v>
      </c>
      <c r="H42" s="26">
        <f t="shared" si="2"/>
        <v>952.93500000000017</v>
      </c>
    </row>
    <row r="43" spans="1:8" x14ac:dyDescent="0.2">
      <c r="A43" s="31">
        <f t="shared" si="3"/>
        <v>29</v>
      </c>
      <c r="B43" s="9" t="s">
        <v>1083</v>
      </c>
      <c r="C43" s="32">
        <v>6139807864</v>
      </c>
      <c r="D43" s="1" t="s">
        <v>1084</v>
      </c>
      <c r="E43" s="36">
        <f>E12*23.78</f>
        <v>1759.72</v>
      </c>
      <c r="F43" s="36">
        <f t="shared" si="0"/>
        <v>1671.7339999999999</v>
      </c>
      <c r="G43" s="26">
        <f t="shared" si="1"/>
        <v>1583.748</v>
      </c>
      <c r="H43" s="26">
        <f t="shared" si="2"/>
        <v>1495.7620000000002</v>
      </c>
    </row>
    <row r="44" spans="1:8" x14ac:dyDescent="0.2">
      <c r="A44" s="31">
        <f t="shared" si="3"/>
        <v>30</v>
      </c>
      <c r="B44" s="9" t="s">
        <v>156</v>
      </c>
      <c r="C44" s="32" t="s">
        <v>1307</v>
      </c>
      <c r="D44" s="1" t="s">
        <v>37</v>
      </c>
      <c r="E44" s="36">
        <f>E12*6.89</f>
        <v>509.85999999999996</v>
      </c>
      <c r="F44" s="36">
        <f t="shared" si="0"/>
        <v>484.36699999999996</v>
      </c>
      <c r="G44" s="26">
        <f t="shared" si="1"/>
        <v>458.87399999999997</v>
      </c>
      <c r="H44" s="26">
        <f t="shared" si="2"/>
        <v>433.38099999999997</v>
      </c>
    </row>
    <row r="45" spans="1:8" x14ac:dyDescent="0.2">
      <c r="A45" s="31">
        <f t="shared" si="3"/>
        <v>31</v>
      </c>
      <c r="B45" s="9" t="s">
        <v>157</v>
      </c>
      <c r="C45" s="32">
        <v>3027502214</v>
      </c>
      <c r="D45" s="1" t="s">
        <v>223</v>
      </c>
      <c r="E45" s="36">
        <f>E12*4.86</f>
        <v>359.64000000000004</v>
      </c>
      <c r="F45" s="36">
        <f t="shared" si="0"/>
        <v>341.65800000000002</v>
      </c>
      <c r="G45" s="26">
        <f t="shared" si="1"/>
        <v>323.67600000000004</v>
      </c>
      <c r="H45" s="26">
        <f t="shared" si="2"/>
        <v>305.69400000000002</v>
      </c>
    </row>
    <row r="46" spans="1:8" x14ac:dyDescent="0.2">
      <c r="A46" s="31">
        <f t="shared" si="3"/>
        <v>32</v>
      </c>
      <c r="B46" s="9" t="s">
        <v>146</v>
      </c>
      <c r="C46" s="32" t="s">
        <v>1308</v>
      </c>
      <c r="D46" s="1" t="s">
        <v>38</v>
      </c>
      <c r="E46" s="36">
        <f>E12*5.55</f>
        <v>410.7</v>
      </c>
      <c r="F46" s="36">
        <f t="shared" si="0"/>
        <v>390.16499999999996</v>
      </c>
      <c r="G46" s="26">
        <f t="shared" si="1"/>
        <v>369.63</v>
      </c>
      <c r="H46" s="26">
        <f t="shared" si="2"/>
        <v>349.09499999999997</v>
      </c>
    </row>
    <row r="47" spans="1:8" x14ac:dyDescent="0.2">
      <c r="A47" s="31">
        <f t="shared" si="3"/>
        <v>33</v>
      </c>
      <c r="B47" s="9" t="s">
        <v>642</v>
      </c>
      <c r="C47" s="32">
        <v>6139805864</v>
      </c>
      <c r="D47" s="1" t="s">
        <v>676</v>
      </c>
      <c r="E47" s="36">
        <f>E12*6.43</f>
        <v>475.82</v>
      </c>
      <c r="F47" s="36">
        <f t="shared" si="0"/>
        <v>452.029</v>
      </c>
      <c r="G47" s="26">
        <f t="shared" si="1"/>
        <v>428.238</v>
      </c>
      <c r="H47" s="26">
        <f t="shared" si="2"/>
        <v>404.447</v>
      </c>
    </row>
    <row r="48" spans="1:8" x14ac:dyDescent="0.2">
      <c r="A48" s="31">
        <f t="shared" si="3"/>
        <v>34</v>
      </c>
      <c r="B48" s="9" t="s">
        <v>1081</v>
      </c>
      <c r="C48" s="32">
        <v>6139807764</v>
      </c>
      <c r="D48" s="1" t="s">
        <v>1079</v>
      </c>
      <c r="E48" s="36">
        <f>E12*8.03</f>
        <v>594.21999999999991</v>
      </c>
      <c r="F48" s="36">
        <f t="shared" si="0"/>
        <v>564.5089999999999</v>
      </c>
      <c r="G48" s="26">
        <f t="shared" si="1"/>
        <v>534.79799999999989</v>
      </c>
      <c r="H48" s="26">
        <f t="shared" si="2"/>
        <v>505.08699999999993</v>
      </c>
    </row>
    <row r="49" spans="1:8" x14ac:dyDescent="0.2">
      <c r="A49" s="31">
        <f t="shared" si="3"/>
        <v>35</v>
      </c>
      <c r="B49" s="9" t="s">
        <v>1082</v>
      </c>
      <c r="C49" s="32"/>
      <c r="D49" s="1" t="s">
        <v>1080</v>
      </c>
      <c r="E49" s="36">
        <f>E12*8.73</f>
        <v>646.02</v>
      </c>
      <c r="F49" s="36">
        <f t="shared" si="0"/>
        <v>613.71899999999994</v>
      </c>
      <c r="G49" s="26">
        <f t="shared" si="1"/>
        <v>581.41800000000001</v>
      </c>
      <c r="H49" s="26">
        <f t="shared" si="2"/>
        <v>549.11699999999996</v>
      </c>
    </row>
    <row r="50" spans="1:8" x14ac:dyDescent="0.2">
      <c r="A50" s="31">
        <f t="shared" si="3"/>
        <v>36</v>
      </c>
      <c r="B50" s="9" t="s">
        <v>119</v>
      </c>
      <c r="C50" s="32">
        <v>6297502236</v>
      </c>
      <c r="D50" s="1" t="s">
        <v>118</v>
      </c>
      <c r="E50" s="36">
        <f>E12*5.65</f>
        <v>418.1</v>
      </c>
      <c r="F50" s="36">
        <f t="shared" si="0"/>
        <v>397.19500000000005</v>
      </c>
      <c r="G50" s="26">
        <f t="shared" si="1"/>
        <v>376.29</v>
      </c>
      <c r="H50" s="26">
        <f t="shared" si="2"/>
        <v>355.38499999999999</v>
      </c>
    </row>
    <row r="51" spans="1:8" x14ac:dyDescent="0.2">
      <c r="A51" s="31">
        <f t="shared" si="3"/>
        <v>37</v>
      </c>
      <c r="B51" s="9" t="s">
        <v>436</v>
      </c>
      <c r="C51" s="32">
        <v>2200171</v>
      </c>
      <c r="D51" s="1" t="s">
        <v>222</v>
      </c>
      <c r="E51" s="36">
        <f>E12*5.55</f>
        <v>410.7</v>
      </c>
      <c r="F51" s="36">
        <f t="shared" si="0"/>
        <v>390.16499999999996</v>
      </c>
      <c r="G51" s="26">
        <f t="shared" si="1"/>
        <v>369.63</v>
      </c>
      <c r="H51" s="26">
        <f t="shared" si="2"/>
        <v>349.09499999999997</v>
      </c>
    </row>
    <row r="52" spans="1:8" x14ac:dyDescent="0.2">
      <c r="A52" s="31">
        <f t="shared" si="3"/>
        <v>38</v>
      </c>
      <c r="B52" s="9" t="s">
        <v>1289</v>
      </c>
      <c r="C52" s="32" t="s">
        <v>1309</v>
      </c>
      <c r="D52" s="1" t="s">
        <v>1290</v>
      </c>
      <c r="E52" s="36">
        <f>E12*59.3</f>
        <v>4388.2</v>
      </c>
      <c r="F52" s="36">
        <f t="shared" si="0"/>
        <v>4168.79</v>
      </c>
      <c r="G52" s="26">
        <f t="shared" si="1"/>
        <v>3949.3799999999997</v>
      </c>
      <c r="H52" s="26">
        <f t="shared" si="2"/>
        <v>3729.97</v>
      </c>
    </row>
    <row r="53" spans="1:8" x14ac:dyDescent="0.2">
      <c r="A53" s="31">
        <f t="shared" si="3"/>
        <v>39</v>
      </c>
      <c r="B53" s="9" t="s">
        <v>1180</v>
      </c>
      <c r="C53" s="32">
        <v>6134630232</v>
      </c>
      <c r="D53" s="1" t="s">
        <v>1031</v>
      </c>
      <c r="E53" s="36">
        <f>E12*83.41</f>
        <v>6172.34</v>
      </c>
      <c r="F53" s="36">
        <f t="shared" si="0"/>
        <v>5863.723</v>
      </c>
      <c r="G53" s="26">
        <f t="shared" si="1"/>
        <v>5555.1059999999998</v>
      </c>
      <c r="H53" s="26">
        <f t="shared" si="2"/>
        <v>5246.4890000000005</v>
      </c>
    </row>
    <row r="54" spans="1:8" x14ac:dyDescent="0.2">
      <c r="A54" s="31">
        <f t="shared" si="3"/>
        <v>40</v>
      </c>
      <c r="B54" s="9" t="s">
        <v>158</v>
      </c>
      <c r="C54" s="32">
        <v>2210001</v>
      </c>
      <c r="D54" s="1" t="s">
        <v>46</v>
      </c>
      <c r="E54" s="36">
        <f>E12*7.15</f>
        <v>529.1</v>
      </c>
      <c r="F54" s="36">
        <f t="shared" si="0"/>
        <v>502.64500000000004</v>
      </c>
      <c r="G54" s="26">
        <f t="shared" si="1"/>
        <v>476.19</v>
      </c>
      <c r="H54" s="26">
        <f t="shared" si="2"/>
        <v>449.73500000000001</v>
      </c>
    </row>
    <row r="55" spans="1:8" x14ac:dyDescent="0.2">
      <c r="A55" s="31">
        <f t="shared" si="3"/>
        <v>41</v>
      </c>
      <c r="B55" s="9" t="s">
        <v>159</v>
      </c>
      <c r="C55" s="32">
        <v>6329700064</v>
      </c>
      <c r="D55" s="1" t="s">
        <v>59</v>
      </c>
      <c r="E55" s="36">
        <f>E12*9.15</f>
        <v>677.1</v>
      </c>
      <c r="F55" s="36">
        <f t="shared" si="0"/>
        <v>643.245</v>
      </c>
      <c r="G55" s="26">
        <f t="shared" si="1"/>
        <v>609.39</v>
      </c>
      <c r="H55" s="26">
        <f t="shared" si="2"/>
        <v>575.53500000000008</v>
      </c>
    </row>
    <row r="56" spans="1:8" x14ac:dyDescent="0.2">
      <c r="A56" s="31">
        <f t="shared" si="3"/>
        <v>42</v>
      </c>
      <c r="B56" s="9" t="s">
        <v>160</v>
      </c>
      <c r="C56" s="32" t="s">
        <v>1310</v>
      </c>
      <c r="D56" s="1" t="s">
        <v>5</v>
      </c>
      <c r="E56" s="36">
        <f>E12*7.92</f>
        <v>586.08000000000004</v>
      </c>
      <c r="F56" s="36">
        <f t="shared" si="0"/>
        <v>556.77600000000007</v>
      </c>
      <c r="G56" s="26">
        <f t="shared" si="1"/>
        <v>527.47199999999998</v>
      </c>
      <c r="H56" s="26">
        <f t="shared" si="2"/>
        <v>498.16800000000001</v>
      </c>
    </row>
    <row r="57" spans="1:8" x14ac:dyDescent="0.2">
      <c r="A57" s="31">
        <f t="shared" si="3"/>
        <v>43</v>
      </c>
      <c r="B57" s="9" t="s">
        <v>1053</v>
      </c>
      <c r="C57" s="32"/>
      <c r="D57" s="1" t="s">
        <v>1052</v>
      </c>
      <c r="E57" s="36">
        <f>E12*8.13</f>
        <v>601.62</v>
      </c>
      <c r="F57" s="36">
        <f t="shared" si="0"/>
        <v>571.53899999999999</v>
      </c>
      <c r="G57" s="26">
        <f t="shared" si="1"/>
        <v>541.45799999999997</v>
      </c>
      <c r="H57" s="26">
        <f t="shared" si="2"/>
        <v>511.37700000000001</v>
      </c>
    </row>
    <row r="58" spans="1:8" x14ac:dyDescent="0.2">
      <c r="A58" s="31">
        <f t="shared" si="3"/>
        <v>44</v>
      </c>
      <c r="B58" s="9" t="s">
        <v>320</v>
      </c>
      <c r="C58" s="32">
        <v>2210012</v>
      </c>
      <c r="D58" s="1" t="s">
        <v>319</v>
      </c>
      <c r="E58" s="36">
        <f>E12*5.86</f>
        <v>433.64000000000004</v>
      </c>
      <c r="F58" s="36">
        <f t="shared" si="0"/>
        <v>411.95800000000003</v>
      </c>
      <c r="G58" s="26">
        <f t="shared" si="1"/>
        <v>390.27600000000007</v>
      </c>
      <c r="H58" s="26">
        <f t="shared" si="2"/>
        <v>368.59400000000005</v>
      </c>
    </row>
    <row r="59" spans="1:8" x14ac:dyDescent="0.2">
      <c r="A59" s="31">
        <f t="shared" si="3"/>
        <v>45</v>
      </c>
      <c r="B59" s="9"/>
      <c r="C59" s="32"/>
      <c r="D59" s="1" t="s">
        <v>1311</v>
      </c>
      <c r="E59" s="36">
        <f>E12*39.95</f>
        <v>2956.3</v>
      </c>
      <c r="F59" s="36">
        <f t="shared" si="0"/>
        <v>2808.4850000000001</v>
      </c>
      <c r="G59" s="26">
        <f t="shared" si="1"/>
        <v>2660.67</v>
      </c>
      <c r="H59" s="26">
        <f t="shared" si="2"/>
        <v>2512.855</v>
      </c>
    </row>
    <row r="60" spans="1:8" x14ac:dyDescent="0.2">
      <c r="A60" s="31">
        <f t="shared" si="3"/>
        <v>46</v>
      </c>
      <c r="B60" s="9" t="s">
        <v>1160</v>
      </c>
      <c r="C60" s="32">
        <v>6133200275</v>
      </c>
      <c r="D60" s="1" t="s">
        <v>1161</v>
      </c>
      <c r="E60" s="36">
        <f>E12*600</f>
        <v>44400</v>
      </c>
      <c r="F60" s="36">
        <f t="shared" si="0"/>
        <v>42180</v>
      </c>
      <c r="G60" s="26">
        <f t="shared" si="1"/>
        <v>39960</v>
      </c>
      <c r="H60" s="26">
        <f t="shared" si="2"/>
        <v>37740</v>
      </c>
    </row>
    <row r="61" spans="1:8" x14ac:dyDescent="0.2">
      <c r="A61" s="31">
        <f t="shared" si="3"/>
        <v>47</v>
      </c>
      <c r="B61" s="9" t="s">
        <v>958</v>
      </c>
      <c r="C61" s="32" t="s">
        <v>1312</v>
      </c>
      <c r="D61" s="1" t="s">
        <v>960</v>
      </c>
      <c r="E61" s="36">
        <f>E12*113</f>
        <v>8362</v>
      </c>
      <c r="F61" s="36">
        <f t="shared" si="0"/>
        <v>7943.9</v>
      </c>
      <c r="G61" s="26">
        <f t="shared" si="1"/>
        <v>7525.8</v>
      </c>
      <c r="H61" s="26">
        <f t="shared" si="2"/>
        <v>7107.7</v>
      </c>
    </row>
    <row r="62" spans="1:8" x14ac:dyDescent="0.2">
      <c r="A62" s="31">
        <f t="shared" si="3"/>
        <v>48</v>
      </c>
      <c r="B62" s="9" t="s">
        <v>1065</v>
      </c>
      <c r="C62" s="32" t="s">
        <v>1313</v>
      </c>
      <c r="D62" s="1" t="s">
        <v>1066</v>
      </c>
      <c r="E62" s="36">
        <f>E12*129.8</f>
        <v>9605.2000000000007</v>
      </c>
      <c r="F62" s="36">
        <f t="shared" si="0"/>
        <v>9124.94</v>
      </c>
      <c r="G62" s="26">
        <f t="shared" si="1"/>
        <v>8644.68</v>
      </c>
      <c r="H62" s="26">
        <f t="shared" si="2"/>
        <v>8164.420000000001</v>
      </c>
    </row>
    <row r="63" spans="1:8" x14ac:dyDescent="0.2">
      <c r="A63" s="31">
        <f t="shared" si="3"/>
        <v>49</v>
      </c>
      <c r="B63" s="9" t="s">
        <v>1234</v>
      </c>
      <c r="C63" s="32" t="s">
        <v>1313</v>
      </c>
      <c r="D63" s="1" t="s">
        <v>1235</v>
      </c>
      <c r="E63" s="36">
        <f>E12*113.8</f>
        <v>8421.1999999999989</v>
      </c>
      <c r="F63" s="36">
        <f t="shared" si="0"/>
        <v>8000.1399999999994</v>
      </c>
      <c r="G63" s="26">
        <f t="shared" si="1"/>
        <v>7579.079999999999</v>
      </c>
      <c r="H63" s="26">
        <f t="shared" si="2"/>
        <v>7158.0199999999986</v>
      </c>
    </row>
    <row r="64" spans="1:8" x14ac:dyDescent="0.2">
      <c r="A64" s="31">
        <f t="shared" si="3"/>
        <v>50</v>
      </c>
      <c r="B64" s="9" t="s">
        <v>959</v>
      </c>
      <c r="C64" s="32" t="s">
        <v>1314</v>
      </c>
      <c r="D64" s="1" t="s">
        <v>1124</v>
      </c>
      <c r="E64" s="36">
        <f>E12*160.5</f>
        <v>11877</v>
      </c>
      <c r="F64" s="36">
        <f t="shared" si="0"/>
        <v>11283.15</v>
      </c>
      <c r="G64" s="26">
        <f t="shared" si="1"/>
        <v>10689.3</v>
      </c>
      <c r="H64" s="26">
        <f t="shared" si="2"/>
        <v>10095.450000000001</v>
      </c>
    </row>
    <row r="65" spans="1:8" x14ac:dyDescent="0.2">
      <c r="A65" s="31">
        <f t="shared" si="3"/>
        <v>51</v>
      </c>
      <c r="B65" s="9" t="s">
        <v>1099</v>
      </c>
      <c r="C65" s="32" t="s">
        <v>1315</v>
      </c>
      <c r="D65" s="1" t="s">
        <v>1100</v>
      </c>
      <c r="E65" s="36">
        <f>E12*119.5</f>
        <v>8843</v>
      </c>
      <c r="F65" s="36">
        <f t="shared" si="0"/>
        <v>8400.85</v>
      </c>
      <c r="G65" s="26">
        <f t="shared" si="1"/>
        <v>7958.7</v>
      </c>
      <c r="H65" s="26">
        <f t="shared" si="2"/>
        <v>7516.55</v>
      </c>
    </row>
    <row r="66" spans="1:8" x14ac:dyDescent="0.2">
      <c r="A66" s="31">
        <f t="shared" si="3"/>
        <v>52</v>
      </c>
      <c r="B66" s="9" t="s">
        <v>1257</v>
      </c>
      <c r="C66" s="32" t="s">
        <v>1316</v>
      </c>
      <c r="D66" s="1" t="s">
        <v>1036</v>
      </c>
      <c r="E66" s="36">
        <f>E12*134</f>
        <v>9916</v>
      </c>
      <c r="F66" s="36">
        <f t="shared" ref="F66:F113" si="4">E66-E66*5%</f>
        <v>9420.2000000000007</v>
      </c>
      <c r="G66" s="26">
        <f t="shared" ref="G66:G113" si="5">E66-E66*10%</f>
        <v>8924.4</v>
      </c>
      <c r="H66" s="26">
        <f t="shared" ref="H66:H113" si="6">E66-E66*15%</f>
        <v>8428.6</v>
      </c>
    </row>
    <row r="67" spans="1:8" x14ac:dyDescent="0.2">
      <c r="A67" s="31">
        <f t="shared" si="3"/>
        <v>53</v>
      </c>
      <c r="B67" s="9" t="s">
        <v>1095</v>
      </c>
      <c r="C67" s="32" t="s">
        <v>1317</v>
      </c>
      <c r="D67" s="1" t="s">
        <v>1098</v>
      </c>
      <c r="E67" s="36">
        <f>E12*113.5</f>
        <v>8399</v>
      </c>
      <c r="F67" s="36">
        <f t="shared" si="4"/>
        <v>7979.05</v>
      </c>
      <c r="G67" s="26">
        <f t="shared" si="5"/>
        <v>7559.1</v>
      </c>
      <c r="H67" s="26">
        <f t="shared" si="6"/>
        <v>7139.15</v>
      </c>
    </row>
    <row r="68" spans="1:8" x14ac:dyDescent="0.2">
      <c r="A68" s="31">
        <f t="shared" si="3"/>
        <v>54</v>
      </c>
      <c r="B68" s="9" t="s">
        <v>1096</v>
      </c>
      <c r="C68" s="32">
        <v>3054210001</v>
      </c>
      <c r="D68" s="1" t="s">
        <v>1097</v>
      </c>
      <c r="E68" s="36">
        <f>E12*121.2</f>
        <v>8968.8000000000011</v>
      </c>
      <c r="F68" s="36">
        <f t="shared" si="4"/>
        <v>8520.36</v>
      </c>
      <c r="G68" s="26">
        <f t="shared" si="5"/>
        <v>8071.920000000001</v>
      </c>
      <c r="H68" s="26">
        <f t="shared" si="6"/>
        <v>7623.4800000000014</v>
      </c>
    </row>
    <row r="69" spans="1:8" x14ac:dyDescent="0.2">
      <c r="A69" s="31">
        <f t="shared" si="3"/>
        <v>55</v>
      </c>
      <c r="B69" s="9" t="s">
        <v>874</v>
      </c>
      <c r="C69" s="32"/>
      <c r="D69" s="1" t="s">
        <v>875</v>
      </c>
      <c r="E69" s="36">
        <f>E12*7.49</f>
        <v>554.26</v>
      </c>
      <c r="F69" s="36">
        <f t="shared" si="4"/>
        <v>526.54700000000003</v>
      </c>
      <c r="G69" s="26">
        <f t="shared" si="5"/>
        <v>498.834</v>
      </c>
      <c r="H69" s="26">
        <f t="shared" si="6"/>
        <v>471.12099999999998</v>
      </c>
    </row>
    <row r="70" spans="1:8" x14ac:dyDescent="0.2">
      <c r="A70" s="31">
        <f t="shared" si="3"/>
        <v>56</v>
      </c>
      <c r="B70" s="9" t="s">
        <v>800</v>
      </c>
      <c r="C70" s="32" t="s">
        <v>1318</v>
      </c>
      <c r="D70" s="3" t="s">
        <v>820</v>
      </c>
      <c r="E70" s="36">
        <f>E12*10.64</f>
        <v>787.36</v>
      </c>
      <c r="F70" s="36">
        <f t="shared" si="4"/>
        <v>747.99199999999996</v>
      </c>
      <c r="G70" s="26">
        <f t="shared" si="5"/>
        <v>708.62400000000002</v>
      </c>
      <c r="H70" s="26">
        <f t="shared" si="6"/>
        <v>669.25599999999997</v>
      </c>
    </row>
    <row r="71" spans="1:8" x14ac:dyDescent="0.2">
      <c r="A71" s="31">
        <f t="shared" si="3"/>
        <v>57</v>
      </c>
      <c r="B71" s="9" t="s">
        <v>779</v>
      </c>
      <c r="C71" s="32">
        <v>3079900014</v>
      </c>
      <c r="D71" s="1" t="s">
        <v>778</v>
      </c>
      <c r="E71" s="36">
        <f>E12*1.68</f>
        <v>124.32</v>
      </c>
      <c r="F71" s="36">
        <f t="shared" si="4"/>
        <v>118.104</v>
      </c>
      <c r="G71" s="26">
        <f t="shared" si="5"/>
        <v>111.88799999999999</v>
      </c>
      <c r="H71" s="26">
        <f t="shared" si="6"/>
        <v>105.672</v>
      </c>
    </row>
    <row r="72" spans="1:8" x14ac:dyDescent="0.2">
      <c r="A72" s="31">
        <f t="shared" si="3"/>
        <v>58</v>
      </c>
      <c r="B72" s="9" t="s">
        <v>1048</v>
      </c>
      <c r="C72" s="32" t="s">
        <v>1319</v>
      </c>
      <c r="D72" s="1" t="s">
        <v>1047</v>
      </c>
      <c r="E72" s="36">
        <f>E12*17.17</f>
        <v>1270.5800000000002</v>
      </c>
      <c r="F72" s="36">
        <f t="shared" si="4"/>
        <v>1207.0510000000002</v>
      </c>
      <c r="G72" s="26">
        <f t="shared" si="5"/>
        <v>1143.5220000000002</v>
      </c>
      <c r="H72" s="26">
        <f t="shared" si="6"/>
        <v>1079.9930000000002</v>
      </c>
    </row>
    <row r="73" spans="1:8" x14ac:dyDescent="0.2">
      <c r="A73" s="31">
        <f t="shared" si="3"/>
        <v>59</v>
      </c>
      <c r="B73" s="9" t="s">
        <v>1268</v>
      </c>
      <c r="C73" s="32">
        <v>6502540006</v>
      </c>
      <c r="D73" s="1" t="s">
        <v>1101</v>
      </c>
      <c r="E73" s="36">
        <f>E12*58.25</f>
        <v>4310.5</v>
      </c>
      <c r="F73" s="36">
        <f t="shared" si="4"/>
        <v>4094.9749999999999</v>
      </c>
      <c r="G73" s="26">
        <f t="shared" si="5"/>
        <v>3879.45</v>
      </c>
      <c r="H73" s="26">
        <f t="shared" si="6"/>
        <v>3663.9250000000002</v>
      </c>
    </row>
    <row r="74" spans="1:8" x14ac:dyDescent="0.2">
      <c r="A74" s="31">
        <f t="shared" si="3"/>
        <v>60</v>
      </c>
      <c r="B74" s="9" t="s">
        <v>1267</v>
      </c>
      <c r="C74" s="32">
        <v>6502503813</v>
      </c>
      <c r="D74" s="1" t="s">
        <v>1102</v>
      </c>
      <c r="E74" s="36">
        <f>E12*58.24</f>
        <v>4309.76</v>
      </c>
      <c r="F74" s="36">
        <f t="shared" si="4"/>
        <v>4094.2720000000004</v>
      </c>
      <c r="G74" s="26">
        <f t="shared" si="5"/>
        <v>3878.7840000000001</v>
      </c>
      <c r="H74" s="26">
        <f t="shared" si="6"/>
        <v>3663.2960000000003</v>
      </c>
    </row>
    <row r="75" spans="1:8" x14ac:dyDescent="0.2">
      <c r="A75" s="31">
        <f t="shared" si="3"/>
        <v>61</v>
      </c>
      <c r="B75" s="9" t="s">
        <v>65</v>
      </c>
      <c r="C75" s="32">
        <v>4031310233</v>
      </c>
      <c r="D75" s="1" t="s">
        <v>134</v>
      </c>
      <c r="E75" s="36">
        <f>E12*6.8</f>
        <v>503.2</v>
      </c>
      <c r="F75" s="36">
        <f t="shared" si="4"/>
        <v>478.03999999999996</v>
      </c>
      <c r="G75" s="26">
        <f t="shared" si="5"/>
        <v>452.88</v>
      </c>
      <c r="H75" s="26">
        <f t="shared" si="6"/>
        <v>427.72</v>
      </c>
    </row>
    <row r="76" spans="1:8" x14ac:dyDescent="0.2">
      <c r="A76" s="31">
        <f t="shared" si="3"/>
        <v>62</v>
      </c>
      <c r="B76" s="9" t="s">
        <v>66</v>
      </c>
      <c r="C76" s="32">
        <v>3173260070</v>
      </c>
      <c r="D76" s="1" t="s">
        <v>67</v>
      </c>
      <c r="E76" s="36">
        <f>E12*1.3</f>
        <v>96.2</v>
      </c>
      <c r="F76" s="36">
        <f t="shared" si="4"/>
        <v>91.39</v>
      </c>
      <c r="G76" s="26">
        <f t="shared" si="5"/>
        <v>86.58</v>
      </c>
      <c r="H76" s="26">
        <f t="shared" si="6"/>
        <v>81.77000000000001</v>
      </c>
    </row>
    <row r="77" spans="1:8" x14ac:dyDescent="0.2">
      <c r="A77" s="31">
        <f t="shared" si="3"/>
        <v>63</v>
      </c>
      <c r="B77" s="9" t="s">
        <v>68</v>
      </c>
      <c r="C77" s="32">
        <v>3203230044</v>
      </c>
      <c r="D77" s="1" t="s">
        <v>69</v>
      </c>
      <c r="E77" s="36">
        <f>E12*0.72</f>
        <v>53.28</v>
      </c>
      <c r="F77" s="36">
        <f t="shared" si="4"/>
        <v>50.616</v>
      </c>
      <c r="G77" s="26">
        <f t="shared" si="5"/>
        <v>47.951999999999998</v>
      </c>
      <c r="H77" s="26">
        <f t="shared" si="6"/>
        <v>45.288000000000004</v>
      </c>
    </row>
    <row r="78" spans="1:8" x14ac:dyDescent="0.2">
      <c r="A78" s="31">
        <f t="shared" si="3"/>
        <v>64</v>
      </c>
      <c r="B78" s="9" t="s">
        <v>285</v>
      </c>
      <c r="C78" s="32"/>
      <c r="D78" s="1" t="s">
        <v>286</v>
      </c>
      <c r="E78" s="36">
        <f>E12*6.55</f>
        <v>484.7</v>
      </c>
      <c r="F78" s="36">
        <f t="shared" si="4"/>
        <v>460.46499999999997</v>
      </c>
      <c r="G78" s="26">
        <f t="shared" si="5"/>
        <v>436.23</v>
      </c>
      <c r="H78" s="26">
        <f t="shared" si="6"/>
        <v>411.995</v>
      </c>
    </row>
    <row r="79" spans="1:8" x14ac:dyDescent="0.2">
      <c r="A79" s="31">
        <f t="shared" si="3"/>
        <v>65</v>
      </c>
      <c r="B79" s="9" t="s">
        <v>287</v>
      </c>
      <c r="C79" s="32">
        <v>81962100101</v>
      </c>
      <c r="D79" s="1" t="s">
        <v>315</v>
      </c>
      <c r="E79" s="36">
        <f>E12*7.65</f>
        <v>566.1</v>
      </c>
      <c r="F79" s="36">
        <f t="shared" si="4"/>
        <v>537.79500000000007</v>
      </c>
      <c r="G79" s="26">
        <f t="shared" si="5"/>
        <v>509.49</v>
      </c>
      <c r="H79" s="26">
        <f t="shared" si="6"/>
        <v>481.185</v>
      </c>
    </row>
    <row r="80" spans="1:8" x14ac:dyDescent="0.2">
      <c r="A80" s="31">
        <f t="shared" si="3"/>
        <v>66</v>
      </c>
      <c r="B80" s="9" t="s">
        <v>879</v>
      </c>
      <c r="C80" s="32">
        <v>4421310050</v>
      </c>
      <c r="D80" s="1" t="s">
        <v>880</v>
      </c>
      <c r="E80" s="36">
        <f>E12*9.47</f>
        <v>700.78000000000009</v>
      </c>
      <c r="F80" s="36">
        <f t="shared" si="4"/>
        <v>665.7410000000001</v>
      </c>
      <c r="G80" s="26">
        <f t="shared" si="5"/>
        <v>630.70200000000011</v>
      </c>
      <c r="H80" s="26">
        <f t="shared" si="6"/>
        <v>595.66300000000012</v>
      </c>
    </row>
    <row r="81" spans="1:8" x14ac:dyDescent="0.2">
      <c r="A81" s="31">
        <f t="shared" ref="A81:A144" si="7">A80+1</f>
        <v>67</v>
      </c>
      <c r="B81" s="9" t="s">
        <v>806</v>
      </c>
      <c r="C81" s="32" t="s">
        <v>1320</v>
      </c>
      <c r="D81" s="1" t="s">
        <v>807</v>
      </c>
      <c r="E81" s="36">
        <f>E12*12.75</f>
        <v>943.5</v>
      </c>
      <c r="F81" s="36">
        <f t="shared" si="4"/>
        <v>896.32500000000005</v>
      </c>
      <c r="G81" s="26">
        <f t="shared" si="5"/>
        <v>849.15</v>
      </c>
      <c r="H81" s="26">
        <f t="shared" si="6"/>
        <v>801.97500000000002</v>
      </c>
    </row>
    <row r="82" spans="1:8" x14ac:dyDescent="0.2">
      <c r="A82" s="31">
        <f t="shared" si="7"/>
        <v>68</v>
      </c>
      <c r="B82" s="9" t="s">
        <v>761</v>
      </c>
      <c r="C82" s="32">
        <v>81455030006</v>
      </c>
      <c r="D82" s="1" t="s">
        <v>765</v>
      </c>
      <c r="E82" s="36">
        <f>E12*1.2</f>
        <v>88.8</v>
      </c>
      <c r="F82" s="36">
        <f t="shared" si="4"/>
        <v>84.36</v>
      </c>
      <c r="G82" s="26">
        <f t="shared" si="5"/>
        <v>79.92</v>
      </c>
      <c r="H82" s="26">
        <f t="shared" si="6"/>
        <v>75.48</v>
      </c>
    </row>
    <row r="83" spans="1:8" x14ac:dyDescent="0.2">
      <c r="A83" s="31">
        <f t="shared" si="7"/>
        <v>69</v>
      </c>
      <c r="B83" s="9" t="s">
        <v>762</v>
      </c>
      <c r="C83" s="32">
        <v>74361022205</v>
      </c>
      <c r="D83" s="1" t="s">
        <v>766</v>
      </c>
      <c r="E83" s="36">
        <f>E12*2.05</f>
        <v>151.69999999999999</v>
      </c>
      <c r="F83" s="36">
        <f t="shared" si="4"/>
        <v>144.11499999999998</v>
      </c>
      <c r="G83" s="26">
        <f t="shared" si="5"/>
        <v>136.53</v>
      </c>
      <c r="H83" s="26">
        <f t="shared" si="6"/>
        <v>128.94499999999999</v>
      </c>
    </row>
    <row r="84" spans="1:8" x14ac:dyDescent="0.2">
      <c r="A84" s="31">
        <f t="shared" si="7"/>
        <v>70</v>
      </c>
      <c r="B84" s="9" t="s">
        <v>763</v>
      </c>
      <c r="C84" s="32" t="s">
        <v>1321</v>
      </c>
      <c r="D84" s="1" t="s">
        <v>764</v>
      </c>
      <c r="E84" s="36">
        <f>E12*1.59</f>
        <v>117.66000000000001</v>
      </c>
      <c r="F84" s="36">
        <f t="shared" si="4"/>
        <v>111.77700000000002</v>
      </c>
      <c r="G84" s="26">
        <f t="shared" si="5"/>
        <v>105.89400000000001</v>
      </c>
      <c r="H84" s="26">
        <f t="shared" si="6"/>
        <v>100.01100000000001</v>
      </c>
    </row>
    <row r="85" spans="1:8" x14ac:dyDescent="0.2">
      <c r="A85" s="31">
        <f t="shared" si="7"/>
        <v>71</v>
      </c>
      <c r="B85" s="9" t="s">
        <v>546</v>
      </c>
      <c r="C85" s="32" t="s">
        <v>1322</v>
      </c>
      <c r="D85" s="1" t="s">
        <v>545</v>
      </c>
      <c r="E85" s="36">
        <f>E12*406</f>
        <v>30044</v>
      </c>
      <c r="F85" s="36">
        <f t="shared" si="4"/>
        <v>28541.8</v>
      </c>
      <c r="G85" s="26">
        <f t="shared" si="5"/>
        <v>27039.599999999999</v>
      </c>
      <c r="H85" s="26">
        <f t="shared" si="6"/>
        <v>25537.4</v>
      </c>
    </row>
    <row r="86" spans="1:8" x14ac:dyDescent="0.2">
      <c r="A86" s="31">
        <f t="shared" si="7"/>
        <v>72</v>
      </c>
      <c r="B86" s="9" t="s">
        <v>161</v>
      </c>
      <c r="C86" s="32">
        <v>4411300008</v>
      </c>
      <c r="D86" s="1" t="s">
        <v>9</v>
      </c>
      <c r="E86" s="36">
        <f>E12*25.35</f>
        <v>1875.9</v>
      </c>
      <c r="F86" s="36">
        <f t="shared" si="4"/>
        <v>1782.105</v>
      </c>
      <c r="G86" s="26">
        <f t="shared" si="5"/>
        <v>1688.31</v>
      </c>
      <c r="H86" s="26">
        <f t="shared" si="6"/>
        <v>1594.5150000000001</v>
      </c>
    </row>
    <row r="87" spans="1:8" x14ac:dyDescent="0.2">
      <c r="A87" s="31">
        <f t="shared" si="7"/>
        <v>73</v>
      </c>
      <c r="B87" s="9" t="s">
        <v>162</v>
      </c>
      <c r="C87" s="32" t="s">
        <v>1323</v>
      </c>
      <c r="D87" s="1" t="s">
        <v>882</v>
      </c>
      <c r="E87" s="36">
        <f>E12*40.04</f>
        <v>2962.96</v>
      </c>
      <c r="F87" s="36">
        <f t="shared" si="4"/>
        <v>2814.8119999999999</v>
      </c>
      <c r="G87" s="26">
        <f t="shared" si="5"/>
        <v>2666.6640000000002</v>
      </c>
      <c r="H87" s="26">
        <f t="shared" si="6"/>
        <v>2518.5160000000001</v>
      </c>
    </row>
    <row r="88" spans="1:8" x14ac:dyDescent="0.2">
      <c r="A88" s="31">
        <f t="shared" si="7"/>
        <v>74</v>
      </c>
      <c r="B88" s="9" t="s">
        <v>881</v>
      </c>
      <c r="C88" s="32">
        <v>4021300608</v>
      </c>
      <c r="D88" s="1" t="s">
        <v>10</v>
      </c>
      <c r="E88" s="36">
        <f>E12*35.87</f>
        <v>2654.3799999999997</v>
      </c>
      <c r="F88" s="36">
        <f t="shared" si="4"/>
        <v>2521.6609999999996</v>
      </c>
      <c r="G88" s="26">
        <f t="shared" si="5"/>
        <v>2388.9419999999996</v>
      </c>
      <c r="H88" s="26">
        <f t="shared" si="6"/>
        <v>2256.223</v>
      </c>
    </row>
    <row r="89" spans="1:8" x14ac:dyDescent="0.2">
      <c r="A89" s="31">
        <f t="shared" si="7"/>
        <v>75</v>
      </c>
      <c r="B89" s="9" t="s">
        <v>892</v>
      </c>
      <c r="C89" s="32">
        <v>4021300608</v>
      </c>
      <c r="D89" s="1" t="s">
        <v>893</v>
      </c>
      <c r="E89" s="36">
        <f>E12*42.26</f>
        <v>3127.24</v>
      </c>
      <c r="F89" s="36">
        <f t="shared" si="4"/>
        <v>2970.8779999999997</v>
      </c>
      <c r="G89" s="26">
        <f t="shared" si="5"/>
        <v>2814.5159999999996</v>
      </c>
      <c r="H89" s="26">
        <f t="shared" si="6"/>
        <v>2658.154</v>
      </c>
    </row>
    <row r="90" spans="1:8" x14ac:dyDescent="0.2">
      <c r="A90" s="31">
        <f t="shared" si="7"/>
        <v>76</v>
      </c>
      <c r="B90" s="9" t="s">
        <v>746</v>
      </c>
      <c r="C90" s="32"/>
      <c r="D90" s="1" t="s">
        <v>745</v>
      </c>
      <c r="E90" s="36">
        <f>E12*36.4</f>
        <v>2693.6</v>
      </c>
      <c r="F90" s="36">
        <f t="shared" si="4"/>
        <v>2558.92</v>
      </c>
      <c r="G90" s="26">
        <f t="shared" si="5"/>
        <v>2424.2399999999998</v>
      </c>
      <c r="H90" s="26">
        <f t="shared" si="6"/>
        <v>2289.56</v>
      </c>
    </row>
    <row r="91" spans="1:8" x14ac:dyDescent="0.2">
      <c r="A91" s="31">
        <f t="shared" si="7"/>
        <v>77</v>
      </c>
      <c r="B91" s="9" t="s">
        <v>782</v>
      </c>
      <c r="C91" s="32">
        <v>9522000220</v>
      </c>
      <c r="D91" s="1" t="s">
        <v>784</v>
      </c>
      <c r="E91" s="36">
        <f>E12*2.15</f>
        <v>159.1</v>
      </c>
      <c r="F91" s="36">
        <f t="shared" si="4"/>
        <v>151.14499999999998</v>
      </c>
      <c r="G91" s="26">
        <f t="shared" si="5"/>
        <v>143.19</v>
      </c>
      <c r="H91" s="26">
        <f t="shared" si="6"/>
        <v>135.23499999999999</v>
      </c>
    </row>
    <row r="92" spans="1:8" x14ac:dyDescent="0.2">
      <c r="A92" s="31">
        <f t="shared" si="7"/>
        <v>78</v>
      </c>
      <c r="B92" s="9" t="s">
        <v>783</v>
      </c>
      <c r="C92" s="32">
        <v>4522002110</v>
      </c>
      <c r="D92" s="1" t="s">
        <v>785</v>
      </c>
      <c r="E92" s="36">
        <f>E12*2.15</f>
        <v>159.1</v>
      </c>
      <c r="F92" s="36">
        <f t="shared" si="4"/>
        <v>151.14499999999998</v>
      </c>
      <c r="G92" s="26">
        <f t="shared" si="5"/>
        <v>143.19</v>
      </c>
      <c r="H92" s="26">
        <f t="shared" si="6"/>
        <v>135.23499999999999</v>
      </c>
    </row>
    <row r="93" spans="1:8" x14ac:dyDescent="0.2">
      <c r="A93" s="31">
        <f t="shared" si="7"/>
        <v>79</v>
      </c>
      <c r="B93" s="9" t="s">
        <v>796</v>
      </c>
      <c r="C93" s="32">
        <v>4522002120</v>
      </c>
      <c r="D93" s="1" t="s">
        <v>798</v>
      </c>
      <c r="E93" s="36">
        <f>E12*2.15</f>
        <v>159.1</v>
      </c>
      <c r="F93" s="36">
        <f t="shared" si="4"/>
        <v>151.14499999999998</v>
      </c>
      <c r="G93" s="26">
        <f t="shared" si="5"/>
        <v>143.19</v>
      </c>
      <c r="H93" s="26">
        <f t="shared" si="6"/>
        <v>135.23499999999999</v>
      </c>
    </row>
    <row r="94" spans="1:8" x14ac:dyDescent="0.2">
      <c r="A94" s="31">
        <f t="shared" si="7"/>
        <v>80</v>
      </c>
      <c r="B94" s="9" t="s">
        <v>797</v>
      </c>
      <c r="C94" s="32">
        <v>9522002210</v>
      </c>
      <c r="D94" s="1" t="s">
        <v>799</v>
      </c>
      <c r="E94" s="36">
        <f>E12*2.15</f>
        <v>159.1</v>
      </c>
      <c r="F94" s="36">
        <f t="shared" si="4"/>
        <v>151.14499999999998</v>
      </c>
      <c r="G94" s="26">
        <f t="shared" si="5"/>
        <v>143.19</v>
      </c>
      <c r="H94" s="26">
        <f t="shared" si="6"/>
        <v>135.23499999999999</v>
      </c>
    </row>
    <row r="95" spans="1:8" x14ac:dyDescent="0.2">
      <c r="A95" s="31">
        <f t="shared" si="7"/>
        <v>81</v>
      </c>
      <c r="B95" s="9" t="s">
        <v>231</v>
      </c>
      <c r="C95" s="32" t="s">
        <v>1324</v>
      </c>
      <c r="D95" s="1" t="s">
        <v>12</v>
      </c>
      <c r="E95" s="36">
        <f>E12*81.9</f>
        <v>6060.6</v>
      </c>
      <c r="F95" s="36">
        <f t="shared" si="4"/>
        <v>5757.5700000000006</v>
      </c>
      <c r="G95" s="26">
        <f t="shared" si="5"/>
        <v>5454.54</v>
      </c>
      <c r="H95" s="26">
        <f t="shared" si="6"/>
        <v>5151.51</v>
      </c>
    </row>
    <row r="96" spans="1:8" s="29" customFormat="1" x14ac:dyDescent="0.2">
      <c r="A96" s="31">
        <f t="shared" si="7"/>
        <v>82</v>
      </c>
      <c r="B96" s="32">
        <v>130126</v>
      </c>
      <c r="C96" s="32">
        <v>4421310519</v>
      </c>
      <c r="D96" s="30" t="s">
        <v>2202</v>
      </c>
      <c r="E96" s="36">
        <f>E12*125.97</f>
        <v>9321.7800000000007</v>
      </c>
      <c r="F96" s="36">
        <f t="shared" si="4"/>
        <v>8855.6910000000007</v>
      </c>
      <c r="G96" s="26">
        <f t="shared" si="5"/>
        <v>8389.6020000000008</v>
      </c>
      <c r="H96" s="26">
        <f t="shared" si="6"/>
        <v>7923.5130000000008</v>
      </c>
    </row>
    <row r="97" spans="1:8" x14ac:dyDescent="0.2">
      <c r="A97" s="31">
        <f t="shared" si="7"/>
        <v>83</v>
      </c>
      <c r="B97" s="9" t="s">
        <v>666</v>
      </c>
      <c r="C97" s="32" t="s">
        <v>1324</v>
      </c>
      <c r="D97" s="1" t="s">
        <v>667</v>
      </c>
      <c r="E97" s="36">
        <f>E12*40.45</f>
        <v>2993.3</v>
      </c>
      <c r="F97" s="36">
        <f t="shared" si="4"/>
        <v>2843.6350000000002</v>
      </c>
      <c r="G97" s="26">
        <f t="shared" si="5"/>
        <v>2693.9700000000003</v>
      </c>
      <c r="H97" s="26">
        <f t="shared" si="6"/>
        <v>2544.3050000000003</v>
      </c>
    </row>
    <row r="98" spans="1:8" s="29" customFormat="1" x14ac:dyDescent="0.2">
      <c r="A98" s="31">
        <f t="shared" si="7"/>
        <v>84</v>
      </c>
      <c r="B98" s="32" t="s">
        <v>1136</v>
      </c>
      <c r="C98" s="32">
        <v>4324070600</v>
      </c>
      <c r="D98" s="30" t="s">
        <v>1612</v>
      </c>
      <c r="E98" s="36">
        <f>E12*8.16</f>
        <v>603.84</v>
      </c>
      <c r="F98" s="36">
        <f t="shared" si="4"/>
        <v>573.64800000000002</v>
      </c>
      <c r="G98" s="26">
        <f t="shared" si="5"/>
        <v>543.45600000000002</v>
      </c>
      <c r="H98" s="26">
        <f t="shared" si="6"/>
        <v>513.26400000000001</v>
      </c>
    </row>
    <row r="99" spans="1:8" s="29" customFormat="1" x14ac:dyDescent="0.2">
      <c r="A99" s="31">
        <f t="shared" si="7"/>
        <v>85</v>
      </c>
      <c r="B99" s="32" t="s">
        <v>1137</v>
      </c>
      <c r="C99" s="32">
        <v>4324070700</v>
      </c>
      <c r="D99" s="30" t="s">
        <v>1613</v>
      </c>
      <c r="E99" s="36">
        <f>E12*8.16</f>
        <v>603.84</v>
      </c>
      <c r="F99" s="36">
        <f t="shared" si="4"/>
        <v>573.64800000000002</v>
      </c>
      <c r="G99" s="26">
        <f t="shared" si="5"/>
        <v>543.45600000000002</v>
      </c>
      <c r="H99" s="26">
        <f t="shared" si="6"/>
        <v>513.26400000000001</v>
      </c>
    </row>
    <row r="100" spans="1:8" s="29" customFormat="1" x14ac:dyDescent="0.2">
      <c r="A100" s="31">
        <f t="shared" si="7"/>
        <v>86</v>
      </c>
      <c r="B100" s="32" t="s">
        <v>1148</v>
      </c>
      <c r="C100" s="32">
        <v>4324070180</v>
      </c>
      <c r="D100" s="30" t="s">
        <v>1614</v>
      </c>
      <c r="E100" s="36">
        <f>E12*9.33</f>
        <v>690.42</v>
      </c>
      <c r="F100" s="36">
        <f t="shared" si="4"/>
        <v>655.899</v>
      </c>
      <c r="G100" s="26">
        <f t="shared" si="5"/>
        <v>621.37799999999993</v>
      </c>
      <c r="H100" s="26">
        <f t="shared" si="6"/>
        <v>586.85699999999997</v>
      </c>
    </row>
    <row r="101" spans="1:8" x14ac:dyDescent="0.2">
      <c r="A101" s="31">
        <f t="shared" si="7"/>
        <v>87</v>
      </c>
      <c r="B101" s="9" t="s">
        <v>163</v>
      </c>
      <c r="C101" s="32"/>
      <c r="D101" s="1" t="s">
        <v>17</v>
      </c>
      <c r="E101" s="36">
        <f>E12*10.53</f>
        <v>779.21999999999991</v>
      </c>
      <c r="F101" s="36">
        <f t="shared" si="4"/>
        <v>740.2589999999999</v>
      </c>
      <c r="G101" s="26">
        <f t="shared" si="5"/>
        <v>701.29799999999989</v>
      </c>
      <c r="H101" s="26">
        <f t="shared" si="6"/>
        <v>662.33699999999999</v>
      </c>
    </row>
    <row r="102" spans="1:8" x14ac:dyDescent="0.2">
      <c r="A102" s="31">
        <f t="shared" si="7"/>
        <v>88</v>
      </c>
      <c r="B102" s="9" t="s">
        <v>340</v>
      </c>
      <c r="C102" s="32"/>
      <c r="D102" s="1" t="s">
        <v>341</v>
      </c>
      <c r="E102" s="36">
        <f>E12*7.7</f>
        <v>569.80000000000007</v>
      </c>
      <c r="F102" s="36">
        <f t="shared" si="4"/>
        <v>541.31000000000006</v>
      </c>
      <c r="G102" s="26">
        <f t="shared" si="5"/>
        <v>512.82000000000005</v>
      </c>
      <c r="H102" s="26">
        <f t="shared" si="6"/>
        <v>484.33000000000004</v>
      </c>
    </row>
    <row r="103" spans="1:8" x14ac:dyDescent="0.2">
      <c r="A103" s="31">
        <f t="shared" si="7"/>
        <v>89</v>
      </c>
      <c r="B103" s="9" t="s">
        <v>97</v>
      </c>
      <c r="C103" s="32"/>
      <c r="D103" s="1" t="s">
        <v>98</v>
      </c>
      <c r="E103" s="36">
        <f>E12*11.88</f>
        <v>879.12</v>
      </c>
      <c r="F103" s="36">
        <f t="shared" si="4"/>
        <v>835.16399999999999</v>
      </c>
      <c r="G103" s="26">
        <f t="shared" si="5"/>
        <v>791.20799999999997</v>
      </c>
      <c r="H103" s="26">
        <f t="shared" si="6"/>
        <v>747.25199999999995</v>
      </c>
    </row>
    <row r="104" spans="1:8" x14ac:dyDescent="0.2">
      <c r="A104" s="31">
        <f t="shared" si="7"/>
        <v>90</v>
      </c>
      <c r="B104" s="9" t="s">
        <v>579</v>
      </c>
      <c r="C104" s="32"/>
      <c r="D104" s="1" t="s">
        <v>6</v>
      </c>
      <c r="E104" s="36">
        <f>E12*8.6</f>
        <v>636.4</v>
      </c>
      <c r="F104" s="36">
        <f t="shared" si="4"/>
        <v>604.57999999999993</v>
      </c>
      <c r="G104" s="26">
        <f t="shared" si="5"/>
        <v>572.76</v>
      </c>
      <c r="H104" s="26">
        <f t="shared" si="6"/>
        <v>540.93999999999994</v>
      </c>
    </row>
    <row r="105" spans="1:8" x14ac:dyDescent="0.2">
      <c r="A105" s="31">
        <f t="shared" si="7"/>
        <v>91</v>
      </c>
      <c r="B105" s="9" t="s">
        <v>374</v>
      </c>
      <c r="C105" s="32"/>
      <c r="D105" s="1" t="s">
        <v>498</v>
      </c>
      <c r="E105" s="36">
        <f>E12*12.99</f>
        <v>961.26</v>
      </c>
      <c r="F105" s="36">
        <f t="shared" si="4"/>
        <v>913.197</v>
      </c>
      <c r="G105" s="26">
        <f t="shared" si="5"/>
        <v>865.13400000000001</v>
      </c>
      <c r="H105" s="26">
        <f t="shared" si="6"/>
        <v>817.07100000000003</v>
      </c>
    </row>
    <row r="106" spans="1:8" x14ac:dyDescent="0.2">
      <c r="A106" s="31">
        <f t="shared" si="7"/>
        <v>92</v>
      </c>
      <c r="B106" s="9" t="s">
        <v>164</v>
      </c>
      <c r="C106" s="32"/>
      <c r="D106" s="1" t="s">
        <v>7</v>
      </c>
      <c r="E106" s="36">
        <f>E12*15.59</f>
        <v>1153.6600000000001</v>
      </c>
      <c r="F106" s="36">
        <f t="shared" si="4"/>
        <v>1095.9770000000001</v>
      </c>
      <c r="G106" s="26">
        <f t="shared" si="5"/>
        <v>1038.2940000000001</v>
      </c>
      <c r="H106" s="26">
        <f t="shared" si="6"/>
        <v>980.6110000000001</v>
      </c>
    </row>
    <row r="107" spans="1:8" x14ac:dyDescent="0.2">
      <c r="A107" s="31">
        <f t="shared" si="7"/>
        <v>93</v>
      </c>
      <c r="B107" s="9" t="s">
        <v>333</v>
      </c>
      <c r="C107" s="32"/>
      <c r="D107" s="1" t="s">
        <v>1011</v>
      </c>
      <c r="E107" s="36">
        <f>E12*16.37</f>
        <v>1211.3800000000001</v>
      </c>
      <c r="F107" s="36">
        <f t="shared" si="4"/>
        <v>1150.8110000000001</v>
      </c>
      <c r="G107" s="26">
        <f t="shared" si="5"/>
        <v>1090.2420000000002</v>
      </c>
      <c r="H107" s="26">
        <f t="shared" si="6"/>
        <v>1029.673</v>
      </c>
    </row>
    <row r="108" spans="1:8" x14ac:dyDescent="0.2">
      <c r="A108" s="31">
        <f t="shared" si="7"/>
        <v>94</v>
      </c>
      <c r="B108" s="9" t="s">
        <v>375</v>
      </c>
      <c r="C108" s="32"/>
      <c r="D108" s="1" t="s">
        <v>48</v>
      </c>
      <c r="E108" s="36">
        <f>E12*17.07</f>
        <v>1263.18</v>
      </c>
      <c r="F108" s="36">
        <f t="shared" si="4"/>
        <v>1200.021</v>
      </c>
      <c r="G108" s="26">
        <f t="shared" si="5"/>
        <v>1136.8620000000001</v>
      </c>
      <c r="H108" s="26">
        <f t="shared" si="6"/>
        <v>1073.703</v>
      </c>
    </row>
    <row r="109" spans="1:8" x14ac:dyDescent="0.2">
      <c r="A109" s="31">
        <f t="shared" si="7"/>
        <v>95</v>
      </c>
      <c r="B109" s="9" t="s">
        <v>165</v>
      </c>
      <c r="C109" s="32"/>
      <c r="D109" s="1" t="s">
        <v>39</v>
      </c>
      <c r="E109" s="36">
        <f>E12*18.19</f>
        <v>1346.0600000000002</v>
      </c>
      <c r="F109" s="36">
        <f t="shared" si="4"/>
        <v>1278.7570000000001</v>
      </c>
      <c r="G109" s="26">
        <f t="shared" si="5"/>
        <v>1211.4540000000002</v>
      </c>
      <c r="H109" s="26">
        <f t="shared" si="6"/>
        <v>1144.1510000000001</v>
      </c>
    </row>
    <row r="110" spans="1:8" x14ac:dyDescent="0.2">
      <c r="A110" s="31">
        <f t="shared" si="7"/>
        <v>96</v>
      </c>
      <c r="B110" s="9" t="s">
        <v>1325</v>
      </c>
      <c r="C110" s="32"/>
      <c r="D110" s="1" t="s">
        <v>40</v>
      </c>
      <c r="E110" s="36">
        <f>E12*18.56</f>
        <v>1373.4399999999998</v>
      </c>
      <c r="F110" s="36">
        <f t="shared" si="4"/>
        <v>1304.7679999999998</v>
      </c>
      <c r="G110" s="26">
        <f t="shared" si="5"/>
        <v>1236.0959999999998</v>
      </c>
      <c r="H110" s="26">
        <f t="shared" si="6"/>
        <v>1167.424</v>
      </c>
    </row>
    <row r="111" spans="1:8" x14ac:dyDescent="0.2">
      <c r="A111" s="31">
        <f t="shared" si="7"/>
        <v>97</v>
      </c>
      <c r="B111" s="9" t="s">
        <v>839</v>
      </c>
      <c r="C111" s="32"/>
      <c r="D111" s="1" t="s">
        <v>838</v>
      </c>
      <c r="E111" s="36">
        <f>E12*19.02</f>
        <v>1407.48</v>
      </c>
      <c r="F111" s="36">
        <f t="shared" si="4"/>
        <v>1337.106</v>
      </c>
      <c r="G111" s="26">
        <f t="shared" si="5"/>
        <v>1266.732</v>
      </c>
      <c r="H111" s="26">
        <f t="shared" si="6"/>
        <v>1196.3579999999999</v>
      </c>
    </row>
    <row r="112" spans="1:8" x14ac:dyDescent="0.2">
      <c r="A112" s="31">
        <f t="shared" si="7"/>
        <v>98</v>
      </c>
      <c r="B112" s="9" t="s">
        <v>1252</v>
      </c>
      <c r="C112" s="32"/>
      <c r="D112" s="1" t="s">
        <v>840</v>
      </c>
      <c r="E112" s="36">
        <f>E12*8.13</f>
        <v>601.62</v>
      </c>
      <c r="F112" s="36">
        <f t="shared" si="4"/>
        <v>571.53899999999999</v>
      </c>
      <c r="G112" s="26">
        <f t="shared" si="5"/>
        <v>541.45799999999997</v>
      </c>
      <c r="H112" s="26">
        <f t="shared" si="6"/>
        <v>511.37700000000001</v>
      </c>
    </row>
    <row r="113" spans="1:8" x14ac:dyDescent="0.2">
      <c r="A113" s="31">
        <f t="shared" si="7"/>
        <v>99</v>
      </c>
      <c r="B113" s="9" t="s">
        <v>842</v>
      </c>
      <c r="C113" s="32"/>
      <c r="D113" s="1" t="s">
        <v>841</v>
      </c>
      <c r="E113" s="36">
        <f>E12*6.62</f>
        <v>489.88</v>
      </c>
      <c r="F113" s="36">
        <f t="shared" si="4"/>
        <v>465.38599999999997</v>
      </c>
      <c r="G113" s="26">
        <f t="shared" si="5"/>
        <v>440.892</v>
      </c>
      <c r="H113" s="26">
        <f t="shared" si="6"/>
        <v>416.39800000000002</v>
      </c>
    </row>
    <row r="114" spans="1:8" x14ac:dyDescent="0.2">
      <c r="A114" s="31">
        <f t="shared" si="7"/>
        <v>100</v>
      </c>
      <c r="B114" s="9" t="s">
        <v>843</v>
      </c>
      <c r="C114" s="32"/>
      <c r="D114" s="1" t="s">
        <v>1071</v>
      </c>
      <c r="E114" s="36">
        <f>E12*16.08</f>
        <v>1189.9199999999998</v>
      </c>
      <c r="F114" s="36">
        <f t="shared" ref="F114:F168" si="8">E114-E114*5%</f>
        <v>1130.4239999999998</v>
      </c>
      <c r="G114" s="26">
        <f t="shared" ref="G114:G168" si="9">E114-E114*10%</f>
        <v>1070.9279999999999</v>
      </c>
      <c r="H114" s="26">
        <f t="shared" ref="H114:H168" si="10">E114-E114*15%</f>
        <v>1011.4319999999999</v>
      </c>
    </row>
    <row r="115" spans="1:8" x14ac:dyDescent="0.2">
      <c r="A115" s="31">
        <f t="shared" si="7"/>
        <v>101</v>
      </c>
      <c r="B115" s="9" t="s">
        <v>845</v>
      </c>
      <c r="C115" s="32"/>
      <c r="D115" s="1" t="s">
        <v>844</v>
      </c>
      <c r="E115" s="36">
        <f>E12*13.18</f>
        <v>975.31999999999994</v>
      </c>
      <c r="F115" s="36">
        <f t="shared" si="8"/>
        <v>926.55399999999997</v>
      </c>
      <c r="G115" s="26">
        <f t="shared" si="9"/>
        <v>877.7879999999999</v>
      </c>
      <c r="H115" s="26">
        <f t="shared" si="10"/>
        <v>829.02199999999993</v>
      </c>
    </row>
    <row r="116" spans="1:8" x14ac:dyDescent="0.2">
      <c r="A116" s="31">
        <f t="shared" si="7"/>
        <v>102</v>
      </c>
      <c r="B116" s="9" t="s">
        <v>847</v>
      </c>
      <c r="C116" s="32"/>
      <c r="D116" s="1" t="s">
        <v>846</v>
      </c>
      <c r="E116" s="36">
        <f>E12*8.06</f>
        <v>596.44000000000005</v>
      </c>
      <c r="F116" s="36">
        <f t="shared" si="8"/>
        <v>566.61800000000005</v>
      </c>
      <c r="G116" s="26">
        <f t="shared" si="9"/>
        <v>536.79600000000005</v>
      </c>
      <c r="H116" s="26">
        <f t="shared" si="10"/>
        <v>506.97400000000005</v>
      </c>
    </row>
    <row r="117" spans="1:8" x14ac:dyDescent="0.2">
      <c r="A117" s="31">
        <f t="shared" si="7"/>
        <v>103</v>
      </c>
      <c r="B117" s="9" t="s">
        <v>849</v>
      </c>
      <c r="C117" s="32"/>
      <c r="D117" s="1" t="s">
        <v>848</v>
      </c>
      <c r="E117" s="36">
        <f>E12*6.65</f>
        <v>492.1</v>
      </c>
      <c r="F117" s="36">
        <f t="shared" si="8"/>
        <v>467.495</v>
      </c>
      <c r="G117" s="26">
        <f t="shared" si="9"/>
        <v>442.89</v>
      </c>
      <c r="H117" s="26">
        <f t="shared" si="10"/>
        <v>418.28500000000003</v>
      </c>
    </row>
    <row r="118" spans="1:8" x14ac:dyDescent="0.2">
      <c r="A118" s="31">
        <f t="shared" si="7"/>
        <v>104</v>
      </c>
      <c r="B118" s="9" t="s">
        <v>851</v>
      </c>
      <c r="C118" s="32"/>
      <c r="D118" s="1" t="s">
        <v>850</v>
      </c>
      <c r="E118" s="36">
        <f>E12*11.86</f>
        <v>877.64</v>
      </c>
      <c r="F118" s="36">
        <f t="shared" si="8"/>
        <v>833.75800000000004</v>
      </c>
      <c r="G118" s="26">
        <f t="shared" si="9"/>
        <v>789.87599999999998</v>
      </c>
      <c r="H118" s="26">
        <f t="shared" si="10"/>
        <v>745.99400000000003</v>
      </c>
    </row>
    <row r="119" spans="1:8" x14ac:dyDescent="0.2">
      <c r="A119" s="31">
        <f t="shared" si="7"/>
        <v>105</v>
      </c>
      <c r="B119" s="9" t="s">
        <v>853</v>
      </c>
      <c r="C119" s="32"/>
      <c r="D119" s="1" t="s">
        <v>852</v>
      </c>
      <c r="E119" s="36">
        <f>E12*5.32</f>
        <v>393.68</v>
      </c>
      <c r="F119" s="36">
        <f t="shared" si="8"/>
        <v>373.99599999999998</v>
      </c>
      <c r="G119" s="26">
        <f t="shared" si="9"/>
        <v>354.31200000000001</v>
      </c>
      <c r="H119" s="26">
        <f t="shared" si="10"/>
        <v>334.62799999999999</v>
      </c>
    </row>
    <row r="120" spans="1:8" x14ac:dyDescent="0.2">
      <c r="A120" s="31">
        <f t="shared" si="7"/>
        <v>106</v>
      </c>
      <c r="B120" s="9" t="s">
        <v>854</v>
      </c>
      <c r="C120" s="32"/>
      <c r="D120" s="1" t="s">
        <v>855</v>
      </c>
      <c r="E120" s="36">
        <f>E12*9.07</f>
        <v>671.18000000000006</v>
      </c>
      <c r="F120" s="36">
        <f t="shared" si="8"/>
        <v>637.62100000000009</v>
      </c>
      <c r="G120" s="26">
        <f t="shared" si="9"/>
        <v>604.06200000000001</v>
      </c>
      <c r="H120" s="26">
        <f t="shared" si="10"/>
        <v>570.50300000000004</v>
      </c>
    </row>
    <row r="121" spans="1:8" x14ac:dyDescent="0.2">
      <c r="A121" s="31">
        <f t="shared" si="7"/>
        <v>107</v>
      </c>
      <c r="B121" s="9" t="s">
        <v>857</v>
      </c>
      <c r="C121" s="32"/>
      <c r="D121" s="1" t="s">
        <v>856</v>
      </c>
      <c r="E121" s="36">
        <f>E12*5.2</f>
        <v>384.8</v>
      </c>
      <c r="F121" s="36">
        <f t="shared" si="8"/>
        <v>365.56</v>
      </c>
      <c r="G121" s="26">
        <f t="shared" si="9"/>
        <v>346.32</v>
      </c>
      <c r="H121" s="26">
        <f t="shared" si="10"/>
        <v>327.08000000000004</v>
      </c>
    </row>
    <row r="122" spans="1:8" x14ac:dyDescent="0.2">
      <c r="A122" s="31">
        <f t="shared" si="7"/>
        <v>108</v>
      </c>
      <c r="B122" s="9" t="s">
        <v>859</v>
      </c>
      <c r="C122" s="32"/>
      <c r="D122" s="1" t="s">
        <v>858</v>
      </c>
      <c r="E122" s="36">
        <f>E12*7.4</f>
        <v>547.6</v>
      </c>
      <c r="F122" s="36">
        <f t="shared" si="8"/>
        <v>520.22</v>
      </c>
      <c r="G122" s="26">
        <f t="shared" si="9"/>
        <v>492.84000000000003</v>
      </c>
      <c r="H122" s="26">
        <f t="shared" si="10"/>
        <v>465.46000000000004</v>
      </c>
    </row>
    <row r="123" spans="1:8" x14ac:dyDescent="0.2">
      <c r="A123" s="31">
        <f t="shared" si="7"/>
        <v>109</v>
      </c>
      <c r="B123" s="9" t="s">
        <v>861</v>
      </c>
      <c r="C123" s="32"/>
      <c r="D123" s="1" t="s">
        <v>860</v>
      </c>
      <c r="E123" s="36">
        <f>E12*5.6</f>
        <v>414.4</v>
      </c>
      <c r="F123" s="36">
        <f t="shared" si="8"/>
        <v>393.67999999999995</v>
      </c>
      <c r="G123" s="26">
        <f t="shared" si="9"/>
        <v>372.96</v>
      </c>
      <c r="H123" s="26">
        <f t="shared" si="10"/>
        <v>352.24</v>
      </c>
    </row>
    <row r="124" spans="1:8" x14ac:dyDescent="0.2">
      <c r="A124" s="31">
        <f t="shared" si="7"/>
        <v>110</v>
      </c>
      <c r="B124" s="9" t="s">
        <v>863</v>
      </c>
      <c r="C124" s="32"/>
      <c r="D124" s="1" t="s">
        <v>862</v>
      </c>
      <c r="E124" s="36">
        <f>E12*5.7</f>
        <v>421.8</v>
      </c>
      <c r="F124" s="36">
        <f t="shared" si="8"/>
        <v>400.71000000000004</v>
      </c>
      <c r="G124" s="26">
        <f t="shared" si="9"/>
        <v>379.62</v>
      </c>
      <c r="H124" s="26">
        <f t="shared" si="10"/>
        <v>358.53000000000003</v>
      </c>
    </row>
    <row r="125" spans="1:8" x14ac:dyDescent="0.2">
      <c r="A125" s="31">
        <f t="shared" si="7"/>
        <v>111</v>
      </c>
      <c r="B125" s="9" t="s">
        <v>1087</v>
      </c>
      <c r="C125" s="32" t="s">
        <v>1327</v>
      </c>
      <c r="D125" s="1" t="s">
        <v>1326</v>
      </c>
      <c r="E125" s="36">
        <f>E12*12.15</f>
        <v>899.1</v>
      </c>
      <c r="F125" s="36">
        <f t="shared" si="8"/>
        <v>854.14499999999998</v>
      </c>
      <c r="G125" s="26">
        <f t="shared" si="9"/>
        <v>809.19</v>
      </c>
      <c r="H125" s="26">
        <f t="shared" si="10"/>
        <v>764.23500000000001</v>
      </c>
    </row>
    <row r="126" spans="1:8" x14ac:dyDescent="0.2">
      <c r="A126" s="31">
        <f t="shared" si="7"/>
        <v>112</v>
      </c>
      <c r="B126" s="9" t="s">
        <v>1088</v>
      </c>
      <c r="C126" s="32" t="s">
        <v>1328</v>
      </c>
      <c r="D126" s="1" t="s">
        <v>1089</v>
      </c>
      <c r="E126" s="36">
        <f>E12*15.47</f>
        <v>1144.78</v>
      </c>
      <c r="F126" s="36">
        <f t="shared" si="8"/>
        <v>1087.5409999999999</v>
      </c>
      <c r="G126" s="26">
        <f t="shared" si="9"/>
        <v>1030.3019999999999</v>
      </c>
      <c r="H126" s="26">
        <f t="shared" si="10"/>
        <v>973.06299999999999</v>
      </c>
    </row>
    <row r="127" spans="1:8" x14ac:dyDescent="0.2">
      <c r="A127" s="31">
        <f t="shared" si="7"/>
        <v>113</v>
      </c>
      <c r="B127" s="9" t="s">
        <v>108</v>
      </c>
      <c r="C127" s="32" t="s">
        <v>1329</v>
      </c>
      <c r="D127" s="1" t="s">
        <v>439</v>
      </c>
      <c r="E127" s="36">
        <f>E12*9.06</f>
        <v>670.44</v>
      </c>
      <c r="F127" s="36">
        <f t="shared" si="8"/>
        <v>636.91800000000001</v>
      </c>
      <c r="G127" s="26">
        <f t="shared" si="9"/>
        <v>603.39600000000007</v>
      </c>
      <c r="H127" s="26">
        <f t="shared" si="10"/>
        <v>569.87400000000002</v>
      </c>
    </row>
    <row r="128" spans="1:8" x14ac:dyDescent="0.2">
      <c r="A128" s="31">
        <f t="shared" si="7"/>
        <v>114</v>
      </c>
      <c r="B128" s="9" t="s">
        <v>970</v>
      </c>
      <c r="C128" s="32">
        <v>81274210125</v>
      </c>
      <c r="D128" s="1" t="s">
        <v>1330</v>
      </c>
      <c r="E128" s="36">
        <f>E12*16.5</f>
        <v>1221</v>
      </c>
      <c r="F128" s="36">
        <f t="shared" si="8"/>
        <v>1159.95</v>
      </c>
      <c r="G128" s="26">
        <f t="shared" si="9"/>
        <v>1098.9000000000001</v>
      </c>
      <c r="H128" s="26">
        <f t="shared" si="10"/>
        <v>1037.8499999999999</v>
      </c>
    </row>
    <row r="129" spans="1:8" x14ac:dyDescent="0.2">
      <c r="A129" s="31">
        <f t="shared" si="7"/>
        <v>115</v>
      </c>
      <c r="B129" s="9">
        <v>460675</v>
      </c>
      <c r="C129" s="32" t="s">
        <v>1331</v>
      </c>
      <c r="D129" s="1" t="s">
        <v>1332</v>
      </c>
      <c r="E129" s="36">
        <f>E12*5.56</f>
        <v>411.44</v>
      </c>
      <c r="F129" s="36">
        <f t="shared" si="8"/>
        <v>390.86799999999999</v>
      </c>
      <c r="G129" s="26">
        <f t="shared" si="9"/>
        <v>370.29599999999999</v>
      </c>
      <c r="H129" s="26">
        <f t="shared" si="10"/>
        <v>349.72399999999999</v>
      </c>
    </row>
    <row r="130" spans="1:8" x14ac:dyDescent="0.2">
      <c r="A130" s="31">
        <f t="shared" si="7"/>
        <v>116</v>
      </c>
      <c r="B130" s="9" t="s">
        <v>224</v>
      </c>
      <c r="C130" s="32">
        <v>81274210109</v>
      </c>
      <c r="D130" s="1" t="s">
        <v>140</v>
      </c>
      <c r="E130" s="36">
        <f>E12*30.14</f>
        <v>2230.36</v>
      </c>
      <c r="F130" s="36">
        <f t="shared" si="8"/>
        <v>2118.8420000000001</v>
      </c>
      <c r="G130" s="26">
        <f t="shared" si="9"/>
        <v>2007.3240000000001</v>
      </c>
      <c r="H130" s="26">
        <f t="shared" si="10"/>
        <v>1895.806</v>
      </c>
    </row>
    <row r="131" spans="1:8" x14ac:dyDescent="0.2">
      <c r="A131" s="31">
        <f t="shared" si="7"/>
        <v>117</v>
      </c>
      <c r="B131" s="9" t="s">
        <v>270</v>
      </c>
      <c r="C131" s="32">
        <v>81274810099</v>
      </c>
      <c r="D131" s="1" t="s">
        <v>271</v>
      </c>
      <c r="E131" s="36">
        <f>E12*29.12</f>
        <v>2154.88</v>
      </c>
      <c r="F131" s="36">
        <f t="shared" si="8"/>
        <v>2047.1360000000002</v>
      </c>
      <c r="G131" s="26">
        <f t="shared" si="9"/>
        <v>1939.3920000000001</v>
      </c>
      <c r="H131" s="26">
        <f t="shared" si="10"/>
        <v>1831.6480000000001</v>
      </c>
    </row>
    <row r="132" spans="1:8" x14ac:dyDescent="0.2">
      <c r="A132" s="31">
        <f t="shared" si="7"/>
        <v>118</v>
      </c>
      <c r="B132" s="9" t="s">
        <v>1245</v>
      </c>
      <c r="C132" s="32" t="s">
        <v>1333</v>
      </c>
      <c r="D132" s="1" t="s">
        <v>141</v>
      </c>
      <c r="E132" s="36">
        <f>E12*13.65</f>
        <v>1010.1</v>
      </c>
      <c r="F132" s="36">
        <f t="shared" si="8"/>
        <v>959.59500000000003</v>
      </c>
      <c r="G132" s="26">
        <f t="shared" si="9"/>
        <v>909.09</v>
      </c>
      <c r="H132" s="26">
        <f t="shared" si="10"/>
        <v>858.58500000000004</v>
      </c>
    </row>
    <row r="133" spans="1:8" x14ac:dyDescent="0.2">
      <c r="A133" s="31">
        <f t="shared" si="7"/>
        <v>119</v>
      </c>
      <c r="B133" s="9" t="s">
        <v>109</v>
      </c>
      <c r="C133" s="32"/>
      <c r="D133" s="1" t="s">
        <v>110</v>
      </c>
      <c r="E133" s="36">
        <f>E12*9.22</f>
        <v>682.28000000000009</v>
      </c>
      <c r="F133" s="36">
        <f t="shared" si="8"/>
        <v>648.16600000000005</v>
      </c>
      <c r="G133" s="26">
        <f t="shared" si="9"/>
        <v>614.05200000000013</v>
      </c>
      <c r="H133" s="26">
        <f t="shared" si="10"/>
        <v>579.9380000000001</v>
      </c>
    </row>
    <row r="134" spans="1:8" x14ac:dyDescent="0.2">
      <c r="A134" s="31">
        <f t="shared" si="7"/>
        <v>120</v>
      </c>
      <c r="B134" s="9" t="s">
        <v>1246</v>
      </c>
      <c r="C134" s="32" t="s">
        <v>1333</v>
      </c>
      <c r="D134" s="1" t="s">
        <v>142</v>
      </c>
      <c r="E134" s="36">
        <f>E12*13.65</f>
        <v>1010.1</v>
      </c>
      <c r="F134" s="36">
        <f t="shared" si="8"/>
        <v>959.59500000000003</v>
      </c>
      <c r="G134" s="26">
        <f t="shared" si="9"/>
        <v>909.09</v>
      </c>
      <c r="H134" s="26">
        <f t="shared" si="10"/>
        <v>858.58500000000004</v>
      </c>
    </row>
    <row r="135" spans="1:8" x14ac:dyDescent="0.2">
      <c r="A135" s="31">
        <f t="shared" si="7"/>
        <v>121</v>
      </c>
      <c r="B135" s="9" t="s">
        <v>1244</v>
      </c>
      <c r="C135" s="32"/>
      <c r="D135" s="1" t="s">
        <v>55</v>
      </c>
      <c r="E135" s="36">
        <f>E12*21.84</f>
        <v>1616.16</v>
      </c>
      <c r="F135" s="36">
        <f t="shared" si="8"/>
        <v>1535.3520000000001</v>
      </c>
      <c r="G135" s="26">
        <f t="shared" si="9"/>
        <v>1454.5440000000001</v>
      </c>
      <c r="H135" s="26">
        <f t="shared" si="10"/>
        <v>1373.7360000000001</v>
      </c>
    </row>
    <row r="136" spans="1:8" x14ac:dyDescent="0.2">
      <c r="A136" s="31">
        <f t="shared" si="7"/>
        <v>122</v>
      </c>
      <c r="B136" s="9" t="s">
        <v>460</v>
      </c>
      <c r="C136" s="32"/>
      <c r="D136" s="1" t="s">
        <v>459</v>
      </c>
      <c r="E136" s="36">
        <f>E12*21.84</f>
        <v>1616.16</v>
      </c>
      <c r="F136" s="36">
        <f t="shared" si="8"/>
        <v>1535.3520000000001</v>
      </c>
      <c r="G136" s="26">
        <f t="shared" si="9"/>
        <v>1454.5440000000001</v>
      </c>
      <c r="H136" s="26">
        <f t="shared" si="10"/>
        <v>1373.7360000000001</v>
      </c>
    </row>
    <row r="137" spans="1:8" x14ac:dyDescent="0.2">
      <c r="A137" s="31">
        <f t="shared" si="7"/>
        <v>123</v>
      </c>
      <c r="B137" s="9" t="s">
        <v>1156</v>
      </c>
      <c r="C137" s="32" t="s">
        <v>1335</v>
      </c>
      <c r="D137" s="1" t="s">
        <v>1334</v>
      </c>
      <c r="E137" s="36">
        <f>E12*69</f>
        <v>5106</v>
      </c>
      <c r="F137" s="36">
        <f t="shared" si="8"/>
        <v>4850.7</v>
      </c>
      <c r="G137" s="26">
        <f t="shared" si="9"/>
        <v>4595.3999999999996</v>
      </c>
      <c r="H137" s="26">
        <f t="shared" si="10"/>
        <v>4340.1000000000004</v>
      </c>
    </row>
    <row r="138" spans="1:8" x14ac:dyDescent="0.2">
      <c r="A138" s="31">
        <f t="shared" si="7"/>
        <v>124</v>
      </c>
      <c r="B138" s="9" t="s">
        <v>802</v>
      </c>
      <c r="C138" s="32" t="s">
        <v>1336</v>
      </c>
      <c r="D138" s="1" t="s">
        <v>801</v>
      </c>
      <c r="E138" s="36">
        <f>E12*11.83</f>
        <v>875.42</v>
      </c>
      <c r="F138" s="36">
        <f t="shared" si="8"/>
        <v>831.649</v>
      </c>
      <c r="G138" s="26">
        <f t="shared" si="9"/>
        <v>787.87799999999993</v>
      </c>
      <c r="H138" s="26">
        <f t="shared" si="10"/>
        <v>744.10699999999997</v>
      </c>
    </row>
    <row r="139" spans="1:8" x14ac:dyDescent="0.2">
      <c r="A139" s="31">
        <f t="shared" si="7"/>
        <v>125</v>
      </c>
      <c r="B139" s="9" t="s">
        <v>834</v>
      </c>
      <c r="C139" s="32">
        <v>81255200068</v>
      </c>
      <c r="D139" s="1" t="s">
        <v>836</v>
      </c>
      <c r="E139" s="36">
        <f>E12*25.48</f>
        <v>1885.52</v>
      </c>
      <c r="F139" s="36">
        <f t="shared" si="8"/>
        <v>1791.2439999999999</v>
      </c>
      <c r="G139" s="26">
        <f t="shared" si="9"/>
        <v>1696.9679999999998</v>
      </c>
      <c r="H139" s="26">
        <f t="shared" si="10"/>
        <v>1602.692</v>
      </c>
    </row>
    <row r="140" spans="1:8" x14ac:dyDescent="0.2">
      <c r="A140" s="31">
        <f t="shared" si="7"/>
        <v>126</v>
      </c>
      <c r="B140" s="9" t="s">
        <v>837</v>
      </c>
      <c r="C140" s="32" t="s">
        <v>1337</v>
      </c>
      <c r="D140" s="1" t="s">
        <v>835</v>
      </c>
      <c r="E140" s="36">
        <f>E12*5.82</f>
        <v>430.68</v>
      </c>
      <c r="F140" s="36">
        <f t="shared" si="8"/>
        <v>409.14600000000002</v>
      </c>
      <c r="G140" s="26">
        <f t="shared" si="9"/>
        <v>387.61200000000002</v>
      </c>
      <c r="H140" s="26">
        <f t="shared" si="10"/>
        <v>366.07799999999997</v>
      </c>
    </row>
    <row r="141" spans="1:8" x14ac:dyDescent="0.2">
      <c r="A141" s="31">
        <f t="shared" si="7"/>
        <v>127</v>
      </c>
      <c r="B141" s="9" t="s">
        <v>870</v>
      </c>
      <c r="C141" s="32" t="s">
        <v>1338</v>
      </c>
      <c r="D141" s="1" t="s">
        <v>869</v>
      </c>
      <c r="E141" s="36">
        <f>E12*26.4</f>
        <v>1953.6</v>
      </c>
      <c r="F141" s="36">
        <f t="shared" si="8"/>
        <v>1855.9199999999998</v>
      </c>
      <c r="G141" s="26">
        <f t="shared" si="9"/>
        <v>1758.2399999999998</v>
      </c>
      <c r="H141" s="26">
        <f t="shared" si="10"/>
        <v>1660.56</v>
      </c>
    </row>
    <row r="142" spans="1:8" x14ac:dyDescent="0.2">
      <c r="A142" s="31">
        <f t="shared" si="7"/>
        <v>128</v>
      </c>
      <c r="B142" s="9" t="s">
        <v>389</v>
      </c>
      <c r="C142" s="32" t="s">
        <v>1339</v>
      </c>
      <c r="D142" s="1" t="s">
        <v>388</v>
      </c>
      <c r="E142" s="36">
        <f>E12*65.52</f>
        <v>4848.4799999999996</v>
      </c>
      <c r="F142" s="36">
        <f t="shared" si="8"/>
        <v>4606.0559999999996</v>
      </c>
      <c r="G142" s="26">
        <f t="shared" si="9"/>
        <v>4363.6319999999996</v>
      </c>
      <c r="H142" s="26">
        <f t="shared" si="10"/>
        <v>4121.2079999999996</v>
      </c>
    </row>
    <row r="143" spans="1:8" x14ac:dyDescent="0.2">
      <c r="A143" s="31">
        <f t="shared" si="7"/>
        <v>129</v>
      </c>
      <c r="B143" s="9" t="s">
        <v>1286</v>
      </c>
      <c r="C143" s="32" t="s">
        <v>1340</v>
      </c>
      <c r="D143" s="1" t="s">
        <v>1140</v>
      </c>
      <c r="E143" s="36">
        <f>E12*91.37</f>
        <v>6761.38</v>
      </c>
      <c r="F143" s="36">
        <f t="shared" si="8"/>
        <v>6423.3109999999997</v>
      </c>
      <c r="G143" s="26">
        <f t="shared" si="9"/>
        <v>6085.2420000000002</v>
      </c>
      <c r="H143" s="26">
        <f t="shared" si="10"/>
        <v>5747.1729999999998</v>
      </c>
    </row>
    <row r="144" spans="1:8" x14ac:dyDescent="0.2">
      <c r="A144" s="31">
        <f t="shared" si="7"/>
        <v>130</v>
      </c>
      <c r="B144" s="9" t="s">
        <v>1282</v>
      </c>
      <c r="C144" s="32" t="s">
        <v>1341</v>
      </c>
      <c r="D144" s="1" t="s">
        <v>1055</v>
      </c>
      <c r="E144" s="36">
        <f>E12*142.4</f>
        <v>10537.6</v>
      </c>
      <c r="F144" s="36">
        <f t="shared" si="8"/>
        <v>10010.720000000001</v>
      </c>
      <c r="G144" s="26">
        <f t="shared" si="9"/>
        <v>9483.84</v>
      </c>
      <c r="H144" s="26">
        <f t="shared" si="10"/>
        <v>8956.9600000000009</v>
      </c>
    </row>
    <row r="145" spans="1:8" x14ac:dyDescent="0.2">
      <c r="A145" s="31">
        <f t="shared" ref="A145:A208" si="11">A144+1</f>
        <v>131</v>
      </c>
      <c r="B145" s="9" t="s">
        <v>995</v>
      </c>
      <c r="C145" s="32" t="s">
        <v>1342</v>
      </c>
      <c r="D145" s="1" t="s">
        <v>996</v>
      </c>
      <c r="E145" s="36">
        <f>E12*91.83</f>
        <v>6795.42</v>
      </c>
      <c r="F145" s="36">
        <f t="shared" si="8"/>
        <v>6455.6490000000003</v>
      </c>
      <c r="G145" s="26">
        <f t="shared" si="9"/>
        <v>6115.8779999999997</v>
      </c>
      <c r="H145" s="26">
        <f t="shared" si="10"/>
        <v>5776.107</v>
      </c>
    </row>
    <row r="146" spans="1:8" x14ac:dyDescent="0.2">
      <c r="A146" s="31">
        <f t="shared" si="11"/>
        <v>132</v>
      </c>
      <c r="B146" s="9" t="s">
        <v>1168</v>
      </c>
      <c r="C146" s="32">
        <v>81303010407</v>
      </c>
      <c r="D146" s="1" t="s">
        <v>1167</v>
      </c>
      <c r="E146" s="36">
        <f>E12*148.56</f>
        <v>10993.44</v>
      </c>
      <c r="F146" s="36">
        <f t="shared" si="8"/>
        <v>10443.768</v>
      </c>
      <c r="G146" s="26">
        <f t="shared" si="9"/>
        <v>9894.0960000000014</v>
      </c>
      <c r="H146" s="26">
        <f t="shared" si="10"/>
        <v>9344.4240000000009</v>
      </c>
    </row>
    <row r="147" spans="1:8" x14ac:dyDescent="0.2">
      <c r="A147" s="31">
        <f t="shared" si="11"/>
        <v>133</v>
      </c>
      <c r="B147" s="9" t="s">
        <v>1130</v>
      </c>
      <c r="C147" s="32" t="s">
        <v>1343</v>
      </c>
      <c r="D147" s="1" t="s">
        <v>592</v>
      </c>
      <c r="E147" s="36">
        <f>E12*115</f>
        <v>8510</v>
      </c>
      <c r="F147" s="36">
        <f t="shared" si="8"/>
        <v>8084.5</v>
      </c>
      <c r="G147" s="26">
        <f t="shared" si="9"/>
        <v>7659</v>
      </c>
      <c r="H147" s="26">
        <f t="shared" si="10"/>
        <v>7233.5</v>
      </c>
    </row>
    <row r="148" spans="1:8" x14ac:dyDescent="0.2">
      <c r="A148" s="31">
        <f t="shared" si="11"/>
        <v>134</v>
      </c>
      <c r="B148" s="9" t="s">
        <v>639</v>
      </c>
      <c r="C148" s="32" t="s">
        <v>1344</v>
      </c>
      <c r="D148" s="1" t="s">
        <v>640</v>
      </c>
      <c r="E148" s="36">
        <f>E12*110</f>
        <v>8140</v>
      </c>
      <c r="F148" s="36">
        <f t="shared" si="8"/>
        <v>7733</v>
      </c>
      <c r="G148" s="26">
        <f t="shared" si="9"/>
        <v>7326</v>
      </c>
      <c r="H148" s="26">
        <f t="shared" si="10"/>
        <v>6919</v>
      </c>
    </row>
    <row r="149" spans="1:8" x14ac:dyDescent="0.2">
      <c r="A149" s="31">
        <f t="shared" si="11"/>
        <v>135</v>
      </c>
      <c r="B149" s="9" t="s">
        <v>902</v>
      </c>
      <c r="C149" s="32" t="s">
        <v>1345</v>
      </c>
      <c r="D149" s="1" t="s">
        <v>903</v>
      </c>
      <c r="E149" s="36">
        <f>E12*127.4</f>
        <v>9427.6</v>
      </c>
      <c r="F149" s="36">
        <f t="shared" si="8"/>
        <v>8956.2200000000012</v>
      </c>
      <c r="G149" s="26">
        <f t="shared" si="9"/>
        <v>8484.84</v>
      </c>
      <c r="H149" s="26">
        <f t="shared" si="10"/>
        <v>8013.46</v>
      </c>
    </row>
    <row r="150" spans="1:8" x14ac:dyDescent="0.2">
      <c r="A150" s="31">
        <f t="shared" si="11"/>
        <v>136</v>
      </c>
      <c r="B150" s="9" t="s">
        <v>1349</v>
      </c>
      <c r="C150" s="32" t="s">
        <v>1348</v>
      </c>
      <c r="D150" s="1" t="s">
        <v>833</v>
      </c>
      <c r="E150" s="36">
        <f>E12*92.83</f>
        <v>6869.42</v>
      </c>
      <c r="F150" s="36">
        <f t="shared" si="8"/>
        <v>6525.9490000000005</v>
      </c>
      <c r="G150" s="26">
        <f t="shared" si="9"/>
        <v>6182.4780000000001</v>
      </c>
      <c r="H150" s="26">
        <f t="shared" si="10"/>
        <v>5839.0069999999996</v>
      </c>
    </row>
    <row r="151" spans="1:8" x14ac:dyDescent="0.2">
      <c r="A151" s="31">
        <f t="shared" si="11"/>
        <v>137</v>
      </c>
      <c r="B151" s="9" t="s">
        <v>1347</v>
      </c>
      <c r="C151" s="32" t="s">
        <v>1346</v>
      </c>
      <c r="D151" s="1" t="s">
        <v>961</v>
      </c>
      <c r="E151" s="36">
        <f>E12*91.24</f>
        <v>6751.7599999999993</v>
      </c>
      <c r="F151" s="36">
        <f t="shared" si="8"/>
        <v>6414.1719999999996</v>
      </c>
      <c r="G151" s="26">
        <f t="shared" si="9"/>
        <v>6076.5839999999989</v>
      </c>
      <c r="H151" s="26">
        <f t="shared" si="10"/>
        <v>5738.9959999999992</v>
      </c>
    </row>
    <row r="152" spans="1:8" x14ac:dyDescent="0.2">
      <c r="A152" s="31">
        <f t="shared" si="11"/>
        <v>138</v>
      </c>
      <c r="B152" s="9" t="s">
        <v>1217</v>
      </c>
      <c r="C152" s="32">
        <v>81508030040</v>
      </c>
      <c r="D152" s="1" t="s">
        <v>1151</v>
      </c>
      <c r="E152" s="36">
        <f>E12*84.23</f>
        <v>6233.02</v>
      </c>
      <c r="F152" s="36">
        <f t="shared" si="8"/>
        <v>5921.3690000000006</v>
      </c>
      <c r="G152" s="26">
        <f t="shared" si="9"/>
        <v>5609.7180000000008</v>
      </c>
      <c r="H152" s="26">
        <f t="shared" si="10"/>
        <v>5298.0670000000009</v>
      </c>
    </row>
    <row r="153" spans="1:8" x14ac:dyDescent="0.2">
      <c r="A153" s="31">
        <f t="shared" si="11"/>
        <v>139</v>
      </c>
      <c r="B153" s="9" t="s">
        <v>1040</v>
      </c>
      <c r="C153" s="32" t="s">
        <v>1350</v>
      </c>
      <c r="D153" s="1" t="s">
        <v>1037</v>
      </c>
      <c r="E153" s="36">
        <f>E12*11.36</f>
        <v>840.64</v>
      </c>
      <c r="F153" s="36">
        <f t="shared" si="8"/>
        <v>798.60799999999995</v>
      </c>
      <c r="G153" s="26">
        <f t="shared" si="9"/>
        <v>756.57600000000002</v>
      </c>
      <c r="H153" s="26">
        <f t="shared" si="10"/>
        <v>714.54399999999998</v>
      </c>
    </row>
    <row r="154" spans="1:8" x14ac:dyDescent="0.2">
      <c r="A154" s="31">
        <f t="shared" si="11"/>
        <v>140</v>
      </c>
      <c r="B154" s="9" t="s">
        <v>1039</v>
      </c>
      <c r="C154" s="32" t="s">
        <v>1351</v>
      </c>
      <c r="D154" s="1" t="s">
        <v>1038</v>
      </c>
      <c r="E154" s="36">
        <f>E12*11.36</f>
        <v>840.64</v>
      </c>
      <c r="F154" s="36">
        <f t="shared" si="8"/>
        <v>798.60799999999995</v>
      </c>
      <c r="G154" s="26">
        <f t="shared" si="9"/>
        <v>756.57600000000002</v>
      </c>
      <c r="H154" s="26">
        <f t="shared" si="10"/>
        <v>714.54399999999998</v>
      </c>
    </row>
    <row r="155" spans="1:8" x14ac:dyDescent="0.2">
      <c r="A155" s="31">
        <f t="shared" si="11"/>
        <v>141</v>
      </c>
      <c r="B155" s="9" t="s">
        <v>1041</v>
      </c>
      <c r="C155" s="32" t="s">
        <v>1352</v>
      </c>
      <c r="D155" s="1" t="s">
        <v>1042</v>
      </c>
      <c r="E155" s="36">
        <f>E12*10.5</f>
        <v>777</v>
      </c>
      <c r="F155" s="36">
        <f t="shared" si="8"/>
        <v>738.15</v>
      </c>
      <c r="G155" s="26">
        <f t="shared" si="9"/>
        <v>699.3</v>
      </c>
      <c r="H155" s="26">
        <f t="shared" si="10"/>
        <v>660.45</v>
      </c>
    </row>
    <row r="156" spans="1:8" x14ac:dyDescent="0.2">
      <c r="A156" s="31">
        <f t="shared" si="11"/>
        <v>142</v>
      </c>
      <c r="B156" s="9" t="s">
        <v>636</v>
      </c>
      <c r="C156" s="32"/>
      <c r="D156" s="1" t="s">
        <v>637</v>
      </c>
      <c r="E156" s="36">
        <f>E12*8.75</f>
        <v>647.5</v>
      </c>
      <c r="F156" s="36">
        <f t="shared" si="8"/>
        <v>615.125</v>
      </c>
      <c r="G156" s="26">
        <f t="shared" si="9"/>
        <v>582.75</v>
      </c>
      <c r="H156" s="26">
        <f t="shared" si="10"/>
        <v>550.375</v>
      </c>
    </row>
    <row r="157" spans="1:8" x14ac:dyDescent="0.2">
      <c r="A157" s="31">
        <f t="shared" si="11"/>
        <v>143</v>
      </c>
      <c r="B157" s="9" t="s">
        <v>518</v>
      </c>
      <c r="C157" s="32"/>
      <c r="D157" s="1" t="s">
        <v>516</v>
      </c>
      <c r="E157" s="36">
        <f>E12*8.75</f>
        <v>647.5</v>
      </c>
      <c r="F157" s="36">
        <f t="shared" si="8"/>
        <v>615.125</v>
      </c>
      <c r="G157" s="26">
        <f t="shared" si="9"/>
        <v>582.75</v>
      </c>
      <c r="H157" s="26">
        <f t="shared" si="10"/>
        <v>550.375</v>
      </c>
    </row>
    <row r="158" spans="1:8" x14ac:dyDescent="0.2">
      <c r="A158" s="31">
        <f t="shared" si="11"/>
        <v>144</v>
      </c>
      <c r="B158" s="9" t="s">
        <v>930</v>
      </c>
      <c r="C158" s="32"/>
      <c r="D158" s="1" t="s">
        <v>1353</v>
      </c>
      <c r="E158" s="36">
        <f>E12*0.07</f>
        <v>5.1800000000000006</v>
      </c>
      <c r="F158" s="36">
        <f t="shared" si="8"/>
        <v>4.9210000000000003</v>
      </c>
      <c r="G158" s="26">
        <f t="shared" si="9"/>
        <v>4.6620000000000008</v>
      </c>
      <c r="H158" s="26">
        <f t="shared" si="10"/>
        <v>4.4030000000000005</v>
      </c>
    </row>
    <row r="159" spans="1:8" x14ac:dyDescent="0.2">
      <c r="A159" s="31">
        <f t="shared" si="11"/>
        <v>145</v>
      </c>
      <c r="B159" s="9" t="s">
        <v>492</v>
      </c>
      <c r="C159" s="32"/>
      <c r="D159" s="1" t="s">
        <v>1354</v>
      </c>
      <c r="E159" s="36">
        <f>E12*8.75</f>
        <v>647.5</v>
      </c>
      <c r="F159" s="36">
        <f t="shared" si="8"/>
        <v>615.125</v>
      </c>
      <c r="G159" s="26">
        <f t="shared" si="9"/>
        <v>582.75</v>
      </c>
      <c r="H159" s="26">
        <f t="shared" si="10"/>
        <v>550.375</v>
      </c>
    </row>
    <row r="160" spans="1:8" x14ac:dyDescent="0.2">
      <c r="A160" s="31">
        <f t="shared" si="11"/>
        <v>146</v>
      </c>
      <c r="B160" s="9" t="s">
        <v>519</v>
      </c>
      <c r="C160" s="32"/>
      <c r="D160" s="1" t="s">
        <v>517</v>
      </c>
      <c r="E160" s="36">
        <f>E12*8.75</f>
        <v>647.5</v>
      </c>
      <c r="F160" s="36">
        <f t="shared" si="8"/>
        <v>615.125</v>
      </c>
      <c r="G160" s="26">
        <f t="shared" si="9"/>
        <v>582.75</v>
      </c>
      <c r="H160" s="26">
        <f t="shared" si="10"/>
        <v>550.375</v>
      </c>
    </row>
    <row r="161" spans="1:8" x14ac:dyDescent="0.2">
      <c r="A161" s="31">
        <f t="shared" si="11"/>
        <v>147</v>
      </c>
      <c r="B161" s="9" t="s">
        <v>552</v>
      </c>
      <c r="C161" s="32"/>
      <c r="D161" s="1" t="s">
        <v>551</v>
      </c>
      <c r="E161" s="36">
        <f>E12*8.75</f>
        <v>647.5</v>
      </c>
      <c r="F161" s="36">
        <f t="shared" si="8"/>
        <v>615.125</v>
      </c>
      <c r="G161" s="26">
        <f t="shared" si="9"/>
        <v>582.75</v>
      </c>
      <c r="H161" s="26">
        <f t="shared" si="10"/>
        <v>550.375</v>
      </c>
    </row>
    <row r="162" spans="1:8" x14ac:dyDescent="0.2">
      <c r="A162" s="31">
        <f t="shared" si="11"/>
        <v>148</v>
      </c>
      <c r="B162" s="9" t="s">
        <v>915</v>
      </c>
      <c r="C162" s="32"/>
      <c r="D162" s="1" t="s">
        <v>369</v>
      </c>
      <c r="E162" s="36">
        <f>E12*8.75</f>
        <v>647.5</v>
      </c>
      <c r="F162" s="36">
        <f t="shared" si="8"/>
        <v>615.125</v>
      </c>
      <c r="G162" s="26">
        <f t="shared" si="9"/>
        <v>582.75</v>
      </c>
      <c r="H162" s="26">
        <f t="shared" si="10"/>
        <v>550.375</v>
      </c>
    </row>
    <row r="163" spans="1:8" x14ac:dyDescent="0.2">
      <c r="A163" s="31">
        <f t="shared" si="11"/>
        <v>149</v>
      </c>
      <c r="B163" s="9" t="s">
        <v>1152</v>
      </c>
      <c r="C163" s="32"/>
      <c r="D163" s="1" t="s">
        <v>1149</v>
      </c>
      <c r="E163" s="36">
        <f>E12*8.75</f>
        <v>647.5</v>
      </c>
      <c r="F163" s="36">
        <f t="shared" si="8"/>
        <v>615.125</v>
      </c>
      <c r="G163" s="26">
        <f t="shared" si="9"/>
        <v>582.75</v>
      </c>
      <c r="H163" s="26">
        <f t="shared" si="10"/>
        <v>550.375</v>
      </c>
    </row>
    <row r="164" spans="1:8" x14ac:dyDescent="0.2">
      <c r="A164" s="31">
        <f t="shared" si="11"/>
        <v>150</v>
      </c>
      <c r="B164" s="9" t="s">
        <v>916</v>
      </c>
      <c r="C164" s="32"/>
      <c r="D164" s="1" t="s">
        <v>370</v>
      </c>
      <c r="E164" s="36">
        <f>E12*8.75</f>
        <v>647.5</v>
      </c>
      <c r="F164" s="36">
        <f t="shared" si="8"/>
        <v>615.125</v>
      </c>
      <c r="G164" s="26">
        <f t="shared" si="9"/>
        <v>582.75</v>
      </c>
      <c r="H164" s="26">
        <f t="shared" si="10"/>
        <v>550.375</v>
      </c>
    </row>
    <row r="165" spans="1:8" x14ac:dyDescent="0.2">
      <c r="A165" s="31">
        <f t="shared" si="11"/>
        <v>151</v>
      </c>
      <c r="B165" s="9" t="s">
        <v>372</v>
      </c>
      <c r="C165" s="32"/>
      <c r="D165" s="1" t="s">
        <v>371</v>
      </c>
      <c r="E165" s="36">
        <f>E12*8.75</f>
        <v>647.5</v>
      </c>
      <c r="F165" s="36">
        <f t="shared" si="8"/>
        <v>615.125</v>
      </c>
      <c r="G165" s="26">
        <f t="shared" si="9"/>
        <v>582.75</v>
      </c>
      <c r="H165" s="26">
        <f t="shared" si="10"/>
        <v>550.375</v>
      </c>
    </row>
    <row r="166" spans="1:8" x14ac:dyDescent="0.2">
      <c r="A166" s="31">
        <f t="shared" si="11"/>
        <v>152</v>
      </c>
      <c r="B166" s="9" t="s">
        <v>554</v>
      </c>
      <c r="C166" s="32"/>
      <c r="D166" s="1" t="s">
        <v>553</v>
      </c>
      <c r="E166" s="36">
        <f>E12*8.75</f>
        <v>647.5</v>
      </c>
      <c r="F166" s="36">
        <f t="shared" si="8"/>
        <v>615.125</v>
      </c>
      <c r="G166" s="26">
        <f t="shared" si="9"/>
        <v>582.75</v>
      </c>
      <c r="H166" s="26">
        <f t="shared" si="10"/>
        <v>550.375</v>
      </c>
    </row>
    <row r="167" spans="1:8" x14ac:dyDescent="0.2">
      <c r="A167" s="31">
        <f t="shared" si="11"/>
        <v>153</v>
      </c>
      <c r="B167" s="9" t="s">
        <v>71</v>
      </c>
      <c r="C167" s="32"/>
      <c r="D167" s="1" t="s">
        <v>70</v>
      </c>
      <c r="E167" s="36">
        <f>E12*10.23</f>
        <v>757.02</v>
      </c>
      <c r="F167" s="36">
        <f t="shared" si="8"/>
        <v>719.16899999999998</v>
      </c>
      <c r="G167" s="26">
        <f t="shared" si="9"/>
        <v>681.31799999999998</v>
      </c>
      <c r="H167" s="26">
        <f t="shared" si="10"/>
        <v>643.46699999999998</v>
      </c>
    </row>
    <row r="168" spans="1:8" x14ac:dyDescent="0.2">
      <c r="A168" s="31">
        <f t="shared" si="11"/>
        <v>154</v>
      </c>
      <c r="B168" s="9" t="s">
        <v>633</v>
      </c>
      <c r="C168" s="32"/>
      <c r="D168" s="1" t="s">
        <v>634</v>
      </c>
      <c r="E168" s="36">
        <f>E12*9.65</f>
        <v>714.1</v>
      </c>
      <c r="F168" s="36">
        <f t="shared" si="8"/>
        <v>678.39499999999998</v>
      </c>
      <c r="G168" s="26">
        <f t="shared" si="9"/>
        <v>642.69000000000005</v>
      </c>
      <c r="H168" s="26">
        <f t="shared" si="10"/>
        <v>606.98500000000001</v>
      </c>
    </row>
    <row r="169" spans="1:8" x14ac:dyDescent="0.2">
      <c r="A169" s="31">
        <f t="shared" si="11"/>
        <v>155</v>
      </c>
      <c r="B169" s="9" t="s">
        <v>441</v>
      </c>
      <c r="C169" s="32" t="s">
        <v>1355</v>
      </c>
      <c r="D169" s="1" t="s">
        <v>499</v>
      </c>
      <c r="E169" s="36">
        <f>E12*9.06</f>
        <v>670.44</v>
      </c>
      <c r="F169" s="36">
        <f t="shared" ref="F169:F238" si="12">E169-E169*5%</f>
        <v>636.91800000000001</v>
      </c>
      <c r="G169" s="26">
        <f t="shared" ref="G169:G238" si="13">E169-E169*10%</f>
        <v>603.39600000000007</v>
      </c>
      <c r="H169" s="26">
        <f t="shared" ref="H169:H238" si="14">E169-E169*15%</f>
        <v>569.87400000000002</v>
      </c>
    </row>
    <row r="170" spans="1:8" x14ac:dyDescent="0.2">
      <c r="A170" s="31">
        <f t="shared" si="11"/>
        <v>156</v>
      </c>
      <c r="B170" s="9" t="s">
        <v>440</v>
      </c>
      <c r="C170" s="32"/>
      <c r="D170" s="1" t="s">
        <v>1356</v>
      </c>
      <c r="E170" s="36">
        <f>E12*353.7</f>
        <v>26173.8</v>
      </c>
      <c r="F170" s="36">
        <f t="shared" si="12"/>
        <v>24865.11</v>
      </c>
      <c r="G170" s="26">
        <f t="shared" si="13"/>
        <v>23556.42</v>
      </c>
      <c r="H170" s="26">
        <f t="shared" si="14"/>
        <v>22247.73</v>
      </c>
    </row>
    <row r="171" spans="1:8" x14ac:dyDescent="0.2">
      <c r="A171" s="31">
        <f t="shared" si="11"/>
        <v>157</v>
      </c>
      <c r="B171" s="9" t="s">
        <v>587</v>
      </c>
      <c r="C171" s="32"/>
      <c r="D171" s="1" t="s">
        <v>735</v>
      </c>
      <c r="E171" s="36">
        <f>E12*265.3</f>
        <v>19632.2</v>
      </c>
      <c r="F171" s="36">
        <f t="shared" si="12"/>
        <v>18650.59</v>
      </c>
      <c r="G171" s="26">
        <f t="shared" si="13"/>
        <v>17668.98</v>
      </c>
      <c r="H171" s="26">
        <f t="shared" si="14"/>
        <v>16687.370000000003</v>
      </c>
    </row>
    <row r="172" spans="1:8" x14ac:dyDescent="0.2">
      <c r="A172" s="31">
        <f t="shared" si="11"/>
        <v>158</v>
      </c>
      <c r="B172" s="9" t="s">
        <v>1027</v>
      </c>
      <c r="C172" s="32"/>
      <c r="D172" s="1" t="s">
        <v>1357</v>
      </c>
      <c r="E172" s="36">
        <f>E12*473</f>
        <v>35002</v>
      </c>
      <c r="F172" s="36">
        <f t="shared" si="12"/>
        <v>33251.9</v>
      </c>
      <c r="G172" s="26">
        <f t="shared" si="13"/>
        <v>31501.8</v>
      </c>
      <c r="H172" s="26">
        <f t="shared" si="14"/>
        <v>29751.7</v>
      </c>
    </row>
    <row r="173" spans="1:8" x14ac:dyDescent="0.2">
      <c r="A173" s="31">
        <f t="shared" si="11"/>
        <v>159</v>
      </c>
      <c r="B173" s="9" t="s">
        <v>1359</v>
      </c>
      <c r="C173" s="32"/>
      <c r="D173" s="1" t="s">
        <v>1358</v>
      </c>
      <c r="E173" s="36">
        <f>E12*473</f>
        <v>35002</v>
      </c>
      <c r="F173" s="36">
        <f t="shared" si="12"/>
        <v>33251.9</v>
      </c>
      <c r="G173" s="26">
        <f t="shared" si="13"/>
        <v>31501.8</v>
      </c>
      <c r="H173" s="26">
        <f t="shared" si="14"/>
        <v>29751.7</v>
      </c>
    </row>
    <row r="174" spans="1:8" x14ac:dyDescent="0.2">
      <c r="A174" s="31">
        <f t="shared" si="11"/>
        <v>160</v>
      </c>
      <c r="B174" s="9">
        <v>461065</v>
      </c>
      <c r="C174" s="32" t="s">
        <v>1360</v>
      </c>
      <c r="D174" s="1" t="s">
        <v>1092</v>
      </c>
      <c r="E174" s="36">
        <f>E12*7.86</f>
        <v>581.64</v>
      </c>
      <c r="F174" s="36">
        <f t="shared" si="12"/>
        <v>552.55799999999999</v>
      </c>
      <c r="G174" s="26">
        <f t="shared" si="13"/>
        <v>523.476</v>
      </c>
      <c r="H174" s="26">
        <f t="shared" si="14"/>
        <v>494.39400000000001</v>
      </c>
    </row>
    <row r="175" spans="1:8" x14ac:dyDescent="0.2">
      <c r="A175" s="31">
        <f t="shared" si="11"/>
        <v>161</v>
      </c>
      <c r="B175" s="9" t="s">
        <v>976</v>
      </c>
      <c r="C175" s="32"/>
      <c r="D175" s="1" t="s">
        <v>975</v>
      </c>
      <c r="E175" s="36">
        <f>E12*6.41</f>
        <v>474.34000000000003</v>
      </c>
      <c r="F175" s="36">
        <f t="shared" si="12"/>
        <v>450.62300000000005</v>
      </c>
      <c r="G175" s="26">
        <f t="shared" si="13"/>
        <v>426.90600000000001</v>
      </c>
      <c r="H175" s="26">
        <f t="shared" si="14"/>
        <v>403.18900000000002</v>
      </c>
    </row>
    <row r="176" spans="1:8" x14ac:dyDescent="0.2">
      <c r="A176" s="31">
        <f t="shared" si="11"/>
        <v>162</v>
      </c>
      <c r="B176" s="9" t="s">
        <v>1009</v>
      </c>
      <c r="C176" s="32" t="s">
        <v>1275</v>
      </c>
      <c r="D176" s="1" t="s">
        <v>1006</v>
      </c>
      <c r="E176" s="36">
        <f>E12*53.2</f>
        <v>3936.8</v>
      </c>
      <c r="F176" s="36">
        <f t="shared" si="12"/>
        <v>3739.96</v>
      </c>
      <c r="G176" s="26">
        <f t="shared" si="13"/>
        <v>3543.12</v>
      </c>
      <c r="H176" s="26">
        <f t="shared" si="14"/>
        <v>3346.28</v>
      </c>
    </row>
    <row r="177" spans="1:8" x14ac:dyDescent="0.2">
      <c r="A177" s="31">
        <f t="shared" si="11"/>
        <v>163</v>
      </c>
      <c r="B177" s="9" t="s">
        <v>817</v>
      </c>
      <c r="C177" s="32">
        <v>81511026012</v>
      </c>
      <c r="D177" s="1" t="s">
        <v>914</v>
      </c>
      <c r="E177" s="36">
        <f>E12*61.7</f>
        <v>4565.8</v>
      </c>
      <c r="F177" s="36">
        <f t="shared" si="12"/>
        <v>4337.51</v>
      </c>
      <c r="G177" s="26">
        <f t="shared" si="13"/>
        <v>4109.22</v>
      </c>
      <c r="H177" s="26">
        <f t="shared" si="14"/>
        <v>3880.9300000000003</v>
      </c>
    </row>
    <row r="178" spans="1:8" x14ac:dyDescent="0.2">
      <c r="A178" s="31">
        <f t="shared" si="11"/>
        <v>164</v>
      </c>
      <c r="B178" s="9" t="s">
        <v>1086</v>
      </c>
      <c r="C178" s="32">
        <v>85504106002</v>
      </c>
      <c r="D178" s="1" t="s">
        <v>1361</v>
      </c>
      <c r="E178" s="36">
        <f>E12*48.35</f>
        <v>3577.9</v>
      </c>
      <c r="F178" s="36">
        <f t="shared" si="12"/>
        <v>3399.0050000000001</v>
      </c>
      <c r="G178" s="26">
        <f t="shared" si="13"/>
        <v>3220.11</v>
      </c>
      <c r="H178" s="26">
        <f t="shared" si="14"/>
        <v>3041.2150000000001</v>
      </c>
    </row>
    <row r="179" spans="1:8" x14ac:dyDescent="0.2">
      <c r="A179" s="31">
        <f t="shared" si="11"/>
        <v>165</v>
      </c>
      <c r="B179" s="9" t="s">
        <v>1078</v>
      </c>
      <c r="C179" s="32" t="s">
        <v>1265</v>
      </c>
      <c r="D179" s="1" t="s">
        <v>1362</v>
      </c>
      <c r="E179" s="36">
        <f>E12*67.93</f>
        <v>5026.8200000000006</v>
      </c>
      <c r="F179" s="36">
        <f t="shared" si="12"/>
        <v>4775.4790000000003</v>
      </c>
      <c r="G179" s="26">
        <f t="shared" si="13"/>
        <v>4524.1380000000008</v>
      </c>
      <c r="H179" s="26">
        <f t="shared" si="14"/>
        <v>4272.7970000000005</v>
      </c>
    </row>
    <row r="180" spans="1:8" x14ac:dyDescent="0.2">
      <c r="A180" s="31">
        <f t="shared" si="11"/>
        <v>166</v>
      </c>
      <c r="B180" s="9" t="s">
        <v>1254</v>
      </c>
      <c r="C180" s="32" t="s">
        <v>1363</v>
      </c>
      <c r="D180" s="1" t="s">
        <v>1366</v>
      </c>
      <c r="E180" s="36">
        <f>E12*63.78</f>
        <v>4719.72</v>
      </c>
      <c r="F180" s="36">
        <f t="shared" si="12"/>
        <v>4483.7340000000004</v>
      </c>
      <c r="G180" s="26">
        <f t="shared" si="13"/>
        <v>4247.7480000000005</v>
      </c>
      <c r="H180" s="26">
        <f t="shared" si="14"/>
        <v>4011.7620000000002</v>
      </c>
    </row>
    <row r="181" spans="1:8" x14ac:dyDescent="0.2">
      <c r="A181" s="31">
        <f t="shared" si="11"/>
        <v>167</v>
      </c>
      <c r="B181" s="9" t="s">
        <v>1232</v>
      </c>
      <c r="C181" s="32" t="s">
        <v>1283</v>
      </c>
      <c r="D181" s="1" t="s">
        <v>1365</v>
      </c>
      <c r="E181" s="36">
        <f>E12*92.4</f>
        <v>6837.6</v>
      </c>
      <c r="F181" s="36">
        <f t="shared" si="12"/>
        <v>6495.72</v>
      </c>
      <c r="G181" s="26">
        <f t="shared" si="13"/>
        <v>6153.84</v>
      </c>
      <c r="H181" s="26">
        <f t="shared" si="14"/>
        <v>5811.96</v>
      </c>
    </row>
    <row r="182" spans="1:8" x14ac:dyDescent="0.2">
      <c r="A182" s="31">
        <f t="shared" si="11"/>
        <v>168</v>
      </c>
      <c r="B182" s="9" t="s">
        <v>895</v>
      </c>
      <c r="C182" s="32" t="s">
        <v>1367</v>
      </c>
      <c r="D182" s="1" t="s">
        <v>1364</v>
      </c>
      <c r="E182" s="36">
        <f>E12*61.7</f>
        <v>4565.8</v>
      </c>
      <c r="F182" s="36">
        <f t="shared" si="12"/>
        <v>4337.51</v>
      </c>
      <c r="G182" s="26">
        <f t="shared" si="13"/>
        <v>4109.22</v>
      </c>
      <c r="H182" s="26">
        <f t="shared" si="14"/>
        <v>3880.9300000000003</v>
      </c>
    </row>
    <row r="183" spans="1:8" x14ac:dyDescent="0.2">
      <c r="A183" s="31">
        <f t="shared" si="11"/>
        <v>169</v>
      </c>
      <c r="B183" s="9">
        <v>182700</v>
      </c>
      <c r="C183" s="32" t="s">
        <v>1369</v>
      </c>
      <c r="D183" s="1" t="s">
        <v>1368</v>
      </c>
      <c r="E183" s="36">
        <f>E12*13.73</f>
        <v>1016.02</v>
      </c>
      <c r="F183" s="36">
        <f t="shared" si="12"/>
        <v>965.21899999999994</v>
      </c>
      <c r="G183" s="26">
        <f t="shared" si="13"/>
        <v>914.41800000000001</v>
      </c>
      <c r="H183" s="26">
        <f t="shared" si="14"/>
        <v>863.61699999999996</v>
      </c>
    </row>
    <row r="184" spans="1:8" s="29" customFormat="1" x14ac:dyDescent="0.2">
      <c r="A184" s="31">
        <f t="shared" si="11"/>
        <v>170</v>
      </c>
      <c r="B184" s="32">
        <v>186729</v>
      </c>
      <c r="C184" s="32">
        <v>81521016056</v>
      </c>
      <c r="D184" s="30" t="s">
        <v>1523</v>
      </c>
      <c r="E184" s="36">
        <f>E12*36</f>
        <v>2664</v>
      </c>
      <c r="F184" s="36">
        <f t="shared" si="12"/>
        <v>2530.8000000000002</v>
      </c>
      <c r="G184" s="26">
        <f t="shared" si="13"/>
        <v>2397.6</v>
      </c>
      <c r="H184" s="26">
        <f t="shared" si="14"/>
        <v>2264.4</v>
      </c>
    </row>
    <row r="185" spans="1:8" s="29" customFormat="1" x14ac:dyDescent="0.2">
      <c r="A185" s="31">
        <f t="shared" si="11"/>
        <v>171</v>
      </c>
      <c r="B185" s="32">
        <v>500108</v>
      </c>
      <c r="C185" s="32" t="s">
        <v>1621</v>
      </c>
      <c r="D185" s="30" t="s">
        <v>1620</v>
      </c>
      <c r="E185" s="36">
        <f>E12*19.18</f>
        <v>1419.32</v>
      </c>
      <c r="F185" s="36">
        <f t="shared" si="12"/>
        <v>1348.354</v>
      </c>
      <c r="G185" s="26">
        <f t="shared" si="13"/>
        <v>1277.3879999999999</v>
      </c>
      <c r="H185" s="26">
        <f t="shared" si="14"/>
        <v>1206.422</v>
      </c>
    </row>
    <row r="186" spans="1:8" x14ac:dyDescent="0.2">
      <c r="A186" s="31">
        <f t="shared" si="11"/>
        <v>172</v>
      </c>
      <c r="B186" s="9" t="s">
        <v>166</v>
      </c>
      <c r="C186" s="32">
        <v>4221800315</v>
      </c>
      <c r="D186" s="1" t="s">
        <v>50</v>
      </c>
      <c r="E186" s="36">
        <f>E12*14.63</f>
        <v>1082.6200000000001</v>
      </c>
      <c r="F186" s="36">
        <f t="shared" si="12"/>
        <v>1028.489</v>
      </c>
      <c r="G186" s="26">
        <f t="shared" si="13"/>
        <v>974.35800000000006</v>
      </c>
      <c r="H186" s="26">
        <f t="shared" si="14"/>
        <v>920.22700000000009</v>
      </c>
    </row>
    <row r="187" spans="1:8" x14ac:dyDescent="0.2">
      <c r="A187" s="31">
        <f t="shared" si="11"/>
        <v>173</v>
      </c>
      <c r="B187" s="9" t="s">
        <v>167</v>
      </c>
      <c r="C187" s="32">
        <v>4421800015</v>
      </c>
      <c r="D187" s="1" t="s">
        <v>49</v>
      </c>
      <c r="E187" s="36">
        <f>E12*12.75</f>
        <v>943.5</v>
      </c>
      <c r="F187" s="36">
        <f t="shared" si="12"/>
        <v>896.32500000000005</v>
      </c>
      <c r="G187" s="26">
        <f t="shared" si="13"/>
        <v>849.15</v>
      </c>
      <c r="H187" s="26">
        <f t="shared" si="14"/>
        <v>801.97500000000002</v>
      </c>
    </row>
    <row r="188" spans="1:8" x14ac:dyDescent="0.2">
      <c r="A188" s="31">
        <f t="shared" si="11"/>
        <v>174</v>
      </c>
      <c r="B188" s="9" t="s">
        <v>168</v>
      </c>
      <c r="C188" s="32"/>
      <c r="D188" s="1" t="s">
        <v>62</v>
      </c>
      <c r="E188" s="36">
        <f>E12*9.9</f>
        <v>732.6</v>
      </c>
      <c r="F188" s="36">
        <f t="shared" si="12"/>
        <v>695.97</v>
      </c>
      <c r="G188" s="26">
        <f t="shared" si="13"/>
        <v>659.34</v>
      </c>
      <c r="H188" s="26">
        <f t="shared" si="14"/>
        <v>622.71</v>
      </c>
    </row>
    <row r="189" spans="1:8" x14ac:dyDescent="0.2">
      <c r="A189" s="31">
        <f t="shared" si="11"/>
        <v>175</v>
      </c>
      <c r="B189" s="9" t="s">
        <v>208</v>
      </c>
      <c r="C189" s="32" t="s">
        <v>1371</v>
      </c>
      <c r="D189" s="1" t="s">
        <v>1370</v>
      </c>
      <c r="E189" s="36">
        <f>E12*2.33</f>
        <v>172.42000000000002</v>
      </c>
      <c r="F189" s="36">
        <f t="shared" si="12"/>
        <v>163.79900000000001</v>
      </c>
      <c r="G189" s="26">
        <f t="shared" si="13"/>
        <v>155.17800000000003</v>
      </c>
      <c r="H189" s="26">
        <f t="shared" si="14"/>
        <v>146.55700000000002</v>
      </c>
    </row>
    <row r="190" spans="1:8" x14ac:dyDescent="0.2">
      <c r="A190" s="31">
        <f t="shared" si="11"/>
        <v>176</v>
      </c>
      <c r="B190" s="9" t="s">
        <v>749</v>
      </c>
      <c r="C190" s="32" t="s">
        <v>1373</v>
      </c>
      <c r="D190" s="1" t="s">
        <v>1372</v>
      </c>
      <c r="E190" s="36">
        <f>E12*2.33</f>
        <v>172.42000000000002</v>
      </c>
      <c r="F190" s="36">
        <f t="shared" si="12"/>
        <v>163.79900000000001</v>
      </c>
      <c r="G190" s="26">
        <f t="shared" si="13"/>
        <v>155.17800000000003</v>
      </c>
      <c r="H190" s="26">
        <f t="shared" si="14"/>
        <v>146.55700000000002</v>
      </c>
    </row>
    <row r="191" spans="1:8" x14ac:dyDescent="0.2">
      <c r="A191" s="31">
        <f t="shared" si="11"/>
        <v>177</v>
      </c>
      <c r="B191" s="9" t="s">
        <v>750</v>
      </c>
      <c r="C191" s="32" t="s">
        <v>1375</v>
      </c>
      <c r="D191" s="1" t="s">
        <v>1374</v>
      </c>
      <c r="E191" s="36">
        <f>E12*2.33</f>
        <v>172.42000000000002</v>
      </c>
      <c r="F191" s="36">
        <f t="shared" si="12"/>
        <v>163.79900000000001</v>
      </c>
      <c r="G191" s="26">
        <f t="shared" si="13"/>
        <v>155.17800000000003</v>
      </c>
      <c r="H191" s="26">
        <f t="shared" si="14"/>
        <v>146.55700000000002</v>
      </c>
    </row>
    <row r="192" spans="1:8" x14ac:dyDescent="0.2">
      <c r="A192" s="31">
        <f t="shared" si="11"/>
        <v>178</v>
      </c>
      <c r="B192" s="9" t="s">
        <v>1508</v>
      </c>
      <c r="C192" s="32" t="s">
        <v>1377</v>
      </c>
      <c r="D192" s="1" t="s">
        <v>1376</v>
      </c>
      <c r="E192" s="36">
        <f>E12*2.33</f>
        <v>172.42000000000002</v>
      </c>
      <c r="F192" s="36">
        <f t="shared" si="12"/>
        <v>163.79900000000001</v>
      </c>
      <c r="G192" s="26">
        <f t="shared" si="13"/>
        <v>155.17800000000003</v>
      </c>
      <c r="H192" s="26">
        <f t="shared" si="14"/>
        <v>146.55700000000002</v>
      </c>
    </row>
    <row r="193" spans="1:8" s="29" customFormat="1" x14ac:dyDescent="0.2">
      <c r="A193" s="31">
        <f t="shared" si="11"/>
        <v>179</v>
      </c>
      <c r="B193" s="32">
        <v>165400</v>
      </c>
      <c r="C193" s="32" t="s">
        <v>1389</v>
      </c>
      <c r="D193" s="30" t="s">
        <v>1388</v>
      </c>
      <c r="E193" s="36">
        <f>E12*6.93</f>
        <v>512.81999999999994</v>
      </c>
      <c r="F193" s="36">
        <f t="shared" si="12"/>
        <v>487.17899999999992</v>
      </c>
      <c r="G193" s="26">
        <f t="shared" si="13"/>
        <v>461.53799999999995</v>
      </c>
      <c r="H193" s="26">
        <f t="shared" si="14"/>
        <v>435.89699999999993</v>
      </c>
    </row>
    <row r="194" spans="1:8" x14ac:dyDescent="0.2">
      <c r="A194" s="31">
        <f t="shared" si="11"/>
        <v>180</v>
      </c>
      <c r="B194" s="9" t="s">
        <v>211</v>
      </c>
      <c r="C194" s="32">
        <v>9730010200</v>
      </c>
      <c r="D194" s="1" t="s">
        <v>1378</v>
      </c>
      <c r="E194" s="36">
        <f>E12*23.92</f>
        <v>1770.0800000000002</v>
      </c>
      <c r="F194" s="36">
        <f t="shared" si="12"/>
        <v>1681.576</v>
      </c>
      <c r="G194" s="26">
        <f t="shared" si="13"/>
        <v>1593.0720000000001</v>
      </c>
      <c r="H194" s="26">
        <f t="shared" si="14"/>
        <v>1504.5680000000002</v>
      </c>
    </row>
    <row r="195" spans="1:8" x14ac:dyDescent="0.2">
      <c r="A195" s="31">
        <f t="shared" si="11"/>
        <v>181</v>
      </c>
      <c r="B195" s="9" t="s">
        <v>212</v>
      </c>
      <c r="C195" s="32">
        <v>9347022400</v>
      </c>
      <c r="D195" s="1" t="s">
        <v>1379</v>
      </c>
      <c r="E195" s="36">
        <f>E12*45.66</f>
        <v>3378.8399999999997</v>
      </c>
      <c r="F195" s="36">
        <f t="shared" si="12"/>
        <v>3209.8979999999997</v>
      </c>
      <c r="G195" s="26">
        <f t="shared" si="13"/>
        <v>3040.9559999999997</v>
      </c>
      <c r="H195" s="26">
        <f t="shared" si="14"/>
        <v>2872.0139999999997</v>
      </c>
    </row>
    <row r="196" spans="1:8" x14ac:dyDescent="0.2">
      <c r="A196" s="31">
        <f t="shared" si="11"/>
        <v>182</v>
      </c>
      <c r="B196" s="9">
        <v>162100</v>
      </c>
      <c r="C196" s="32">
        <v>9347020400</v>
      </c>
      <c r="D196" s="1" t="s">
        <v>1380</v>
      </c>
      <c r="E196" s="36">
        <f>E12*40.38</f>
        <v>2988.1200000000003</v>
      </c>
      <c r="F196" s="36">
        <f t="shared" si="12"/>
        <v>2838.7140000000004</v>
      </c>
      <c r="G196" s="26">
        <f t="shared" si="13"/>
        <v>2689.3080000000004</v>
      </c>
      <c r="H196" s="26">
        <f t="shared" si="14"/>
        <v>2539.9020000000005</v>
      </c>
    </row>
    <row r="197" spans="1:8" x14ac:dyDescent="0.2">
      <c r="A197" s="31">
        <f t="shared" si="11"/>
        <v>183</v>
      </c>
      <c r="B197" s="9" t="s">
        <v>825</v>
      </c>
      <c r="C197" s="32" t="s">
        <v>1382</v>
      </c>
      <c r="D197" s="1" t="s">
        <v>1381</v>
      </c>
      <c r="E197" s="36">
        <f>E12*48.75</f>
        <v>3607.5</v>
      </c>
      <c r="F197" s="36">
        <f t="shared" si="12"/>
        <v>3427.125</v>
      </c>
      <c r="G197" s="26">
        <f t="shared" si="13"/>
        <v>3246.75</v>
      </c>
      <c r="H197" s="26">
        <f t="shared" si="14"/>
        <v>3066.375</v>
      </c>
    </row>
    <row r="198" spans="1:8" x14ac:dyDescent="0.2">
      <c r="A198" s="31">
        <f t="shared" si="11"/>
        <v>184</v>
      </c>
      <c r="B198" s="9">
        <v>125205</v>
      </c>
      <c r="C198" s="32">
        <v>9347022500</v>
      </c>
      <c r="D198" s="1" t="s">
        <v>1383</v>
      </c>
      <c r="E198" s="36">
        <f>E12*47.25</f>
        <v>3496.5</v>
      </c>
      <c r="F198" s="36">
        <f t="shared" si="12"/>
        <v>3321.6750000000002</v>
      </c>
      <c r="G198" s="26">
        <f t="shared" si="13"/>
        <v>3146.85</v>
      </c>
      <c r="H198" s="26">
        <f t="shared" si="14"/>
        <v>2972.0250000000001</v>
      </c>
    </row>
    <row r="199" spans="1:8" s="29" customFormat="1" x14ac:dyDescent="0.2">
      <c r="A199" s="31">
        <f t="shared" si="11"/>
        <v>185</v>
      </c>
      <c r="B199" s="32">
        <v>134204</v>
      </c>
      <c r="C199" s="32" t="s">
        <v>1277</v>
      </c>
      <c r="D199" s="30" t="s">
        <v>1501</v>
      </c>
      <c r="E199" s="36">
        <f>E12*39.6</f>
        <v>2930.4</v>
      </c>
      <c r="F199" s="36">
        <f t="shared" si="12"/>
        <v>2783.88</v>
      </c>
      <c r="G199" s="26">
        <f t="shared" si="13"/>
        <v>2637.36</v>
      </c>
      <c r="H199" s="26">
        <f t="shared" si="14"/>
        <v>2490.84</v>
      </c>
    </row>
    <row r="200" spans="1:8" s="29" customFormat="1" x14ac:dyDescent="0.2">
      <c r="A200" s="31">
        <f t="shared" si="11"/>
        <v>186</v>
      </c>
      <c r="B200" s="32">
        <v>134201</v>
      </c>
      <c r="C200" s="32" t="s">
        <v>1276</v>
      </c>
      <c r="D200" s="30" t="s">
        <v>1502</v>
      </c>
      <c r="E200" s="36">
        <f>E12*34.2</f>
        <v>2530.8000000000002</v>
      </c>
      <c r="F200" s="36">
        <f t="shared" si="12"/>
        <v>2404.2600000000002</v>
      </c>
      <c r="G200" s="26">
        <f t="shared" si="13"/>
        <v>2277.7200000000003</v>
      </c>
      <c r="H200" s="26">
        <f t="shared" si="14"/>
        <v>2151.1800000000003</v>
      </c>
    </row>
    <row r="201" spans="1:8" s="29" customFormat="1" x14ac:dyDescent="0.2">
      <c r="A201" s="31">
        <f t="shared" si="11"/>
        <v>187</v>
      </c>
      <c r="B201" s="32">
        <v>327206</v>
      </c>
      <c r="C201" s="32">
        <v>9347050020</v>
      </c>
      <c r="D201" s="30" t="s">
        <v>1536</v>
      </c>
      <c r="E201" s="36">
        <f>E12*87.12</f>
        <v>6446.88</v>
      </c>
      <c r="F201" s="36">
        <f t="shared" si="12"/>
        <v>6124.5360000000001</v>
      </c>
      <c r="G201" s="26">
        <f t="shared" si="13"/>
        <v>5802.192</v>
      </c>
      <c r="H201" s="26">
        <f t="shared" si="14"/>
        <v>5479.848</v>
      </c>
    </row>
    <row r="202" spans="1:8" x14ac:dyDescent="0.2">
      <c r="A202" s="31">
        <f t="shared" si="11"/>
        <v>188</v>
      </c>
      <c r="B202" s="9">
        <v>512200</v>
      </c>
      <c r="C202" s="32" t="s">
        <v>1538</v>
      </c>
      <c r="D202" s="1" t="s">
        <v>1537</v>
      </c>
      <c r="E202" s="36">
        <f>E12*51.13</f>
        <v>3783.6200000000003</v>
      </c>
      <c r="F202" s="36">
        <f t="shared" si="12"/>
        <v>3594.4390000000003</v>
      </c>
      <c r="G202" s="26">
        <f t="shared" si="13"/>
        <v>3405.2580000000003</v>
      </c>
      <c r="H202" s="26">
        <f t="shared" si="14"/>
        <v>3216.0770000000002</v>
      </c>
    </row>
    <row r="203" spans="1:8" s="29" customFormat="1" x14ac:dyDescent="0.2">
      <c r="A203" s="31">
        <f t="shared" si="11"/>
        <v>189</v>
      </c>
      <c r="B203" s="32">
        <v>514200</v>
      </c>
      <c r="C203" s="32" t="s">
        <v>1542</v>
      </c>
      <c r="D203" s="30" t="s">
        <v>1541</v>
      </c>
      <c r="E203" s="36">
        <f>E12*133.1</f>
        <v>9849.4</v>
      </c>
      <c r="F203" s="36">
        <f t="shared" si="12"/>
        <v>9356.93</v>
      </c>
      <c r="G203" s="26">
        <f t="shared" si="13"/>
        <v>8864.4599999999991</v>
      </c>
      <c r="H203" s="26">
        <f t="shared" si="14"/>
        <v>8371.99</v>
      </c>
    </row>
    <row r="204" spans="1:8" s="29" customFormat="1" x14ac:dyDescent="0.2">
      <c r="A204" s="31">
        <f t="shared" si="11"/>
        <v>190</v>
      </c>
      <c r="B204" s="32" t="s">
        <v>1520</v>
      </c>
      <c r="C204" s="32">
        <v>4520030020</v>
      </c>
      <c r="D204" s="30" t="s">
        <v>1521</v>
      </c>
      <c r="E204" s="36">
        <f>E12*47.93</f>
        <v>3546.82</v>
      </c>
      <c r="F204" s="36">
        <f t="shared" si="12"/>
        <v>3369.4790000000003</v>
      </c>
      <c r="G204" s="26">
        <f t="shared" si="13"/>
        <v>3192.1379999999999</v>
      </c>
      <c r="H204" s="26">
        <f t="shared" si="14"/>
        <v>3014.797</v>
      </c>
    </row>
    <row r="205" spans="1:8" s="29" customFormat="1" x14ac:dyDescent="0.2">
      <c r="A205" s="31">
        <f t="shared" si="11"/>
        <v>191</v>
      </c>
      <c r="B205" s="32" t="s">
        <v>1544</v>
      </c>
      <c r="C205" s="32" t="s">
        <v>1546</v>
      </c>
      <c r="D205" s="30" t="s">
        <v>1545</v>
      </c>
      <c r="E205" s="36">
        <f>E12*49.36</f>
        <v>3652.64</v>
      </c>
      <c r="F205" s="36">
        <f t="shared" si="12"/>
        <v>3470.0079999999998</v>
      </c>
      <c r="G205" s="26">
        <f t="shared" si="13"/>
        <v>3287.3759999999997</v>
      </c>
      <c r="H205" s="26">
        <f t="shared" si="14"/>
        <v>3104.7439999999997</v>
      </c>
    </row>
    <row r="206" spans="1:8" x14ac:dyDescent="0.2">
      <c r="A206" s="31">
        <f t="shared" si="11"/>
        <v>192</v>
      </c>
      <c r="B206" s="9" t="s">
        <v>522</v>
      </c>
      <c r="C206" s="32">
        <v>9730024020</v>
      </c>
      <c r="D206" s="1" t="s">
        <v>1386</v>
      </c>
      <c r="E206" s="36">
        <f>E12*54.5</f>
        <v>4033</v>
      </c>
      <c r="F206" s="36">
        <f t="shared" si="12"/>
        <v>3831.35</v>
      </c>
      <c r="G206" s="26">
        <f t="shared" si="13"/>
        <v>3629.7</v>
      </c>
      <c r="H206" s="26">
        <f t="shared" si="14"/>
        <v>3428.05</v>
      </c>
    </row>
    <row r="207" spans="1:8" s="29" customFormat="1" x14ac:dyDescent="0.2">
      <c r="A207" s="31">
        <f t="shared" si="11"/>
        <v>193</v>
      </c>
      <c r="B207" s="32">
        <v>161990</v>
      </c>
      <c r="C207" s="32">
        <v>9730025200</v>
      </c>
      <c r="D207" s="30" t="s">
        <v>1490</v>
      </c>
      <c r="E207" s="36">
        <f>E12*49.93</f>
        <v>3694.82</v>
      </c>
      <c r="F207" s="36">
        <f t="shared" si="12"/>
        <v>3510.0790000000002</v>
      </c>
      <c r="G207" s="26">
        <f t="shared" si="13"/>
        <v>3325.3380000000002</v>
      </c>
      <c r="H207" s="26">
        <f t="shared" si="14"/>
        <v>3140.5970000000002</v>
      </c>
    </row>
    <row r="208" spans="1:8" s="29" customFormat="1" x14ac:dyDescent="0.2">
      <c r="A208" s="31">
        <f t="shared" si="11"/>
        <v>194</v>
      </c>
      <c r="B208" s="32">
        <v>523300</v>
      </c>
      <c r="C208" s="32">
        <v>42534677</v>
      </c>
      <c r="D208" s="30" t="s">
        <v>1543</v>
      </c>
      <c r="E208" s="36">
        <f>E12*39.12</f>
        <v>2894.8799999999997</v>
      </c>
      <c r="F208" s="36">
        <f t="shared" si="12"/>
        <v>2750.1359999999995</v>
      </c>
      <c r="G208" s="26">
        <f t="shared" si="13"/>
        <v>2605.3919999999998</v>
      </c>
      <c r="H208" s="26">
        <f t="shared" si="14"/>
        <v>2460.6479999999997</v>
      </c>
    </row>
    <row r="209" spans="1:8" s="29" customFormat="1" x14ac:dyDescent="0.2">
      <c r="A209" s="31">
        <f t="shared" ref="A209:A272" si="15">A208+1</f>
        <v>195</v>
      </c>
      <c r="B209" s="32">
        <v>100101</v>
      </c>
      <c r="C209" s="32">
        <v>9730010200</v>
      </c>
      <c r="D209" s="30" t="s">
        <v>1516</v>
      </c>
      <c r="E209" s="36">
        <f>E12*30.36</f>
        <v>2246.64</v>
      </c>
      <c r="F209" s="36">
        <f t="shared" si="12"/>
        <v>2134.308</v>
      </c>
      <c r="G209" s="26">
        <f t="shared" si="13"/>
        <v>2021.9759999999999</v>
      </c>
      <c r="H209" s="26">
        <f t="shared" si="14"/>
        <v>1909.6439999999998</v>
      </c>
    </row>
    <row r="210" spans="1:8" s="29" customFormat="1" x14ac:dyDescent="0.2">
      <c r="A210" s="31">
        <f t="shared" si="15"/>
        <v>196</v>
      </c>
      <c r="B210" s="32">
        <v>102103</v>
      </c>
      <c r="C210" s="32">
        <v>4730120040</v>
      </c>
      <c r="D210" s="30" t="s">
        <v>1517</v>
      </c>
      <c r="E210" s="36">
        <f>E12*38.33</f>
        <v>2836.42</v>
      </c>
      <c r="F210" s="36">
        <f t="shared" si="12"/>
        <v>2694.5990000000002</v>
      </c>
      <c r="G210" s="26">
        <f t="shared" si="13"/>
        <v>2552.7780000000002</v>
      </c>
      <c r="H210" s="26">
        <f t="shared" si="14"/>
        <v>2410.9569999999999</v>
      </c>
    </row>
    <row r="211" spans="1:8" s="29" customFormat="1" x14ac:dyDescent="0.2">
      <c r="A211" s="31">
        <f t="shared" si="15"/>
        <v>197</v>
      </c>
      <c r="B211" s="32">
        <v>110100</v>
      </c>
      <c r="C211" s="32" t="s">
        <v>1519</v>
      </c>
      <c r="D211" s="30" t="s">
        <v>1518</v>
      </c>
      <c r="E211" s="36">
        <f>E12*28.5</f>
        <v>2109</v>
      </c>
      <c r="F211" s="36">
        <f t="shared" si="12"/>
        <v>2003.55</v>
      </c>
      <c r="G211" s="26">
        <f t="shared" si="13"/>
        <v>1898.1</v>
      </c>
      <c r="H211" s="26">
        <f t="shared" si="14"/>
        <v>1792.65</v>
      </c>
    </row>
    <row r="212" spans="1:8" s="29" customFormat="1" x14ac:dyDescent="0.2">
      <c r="A212" s="31">
        <f t="shared" si="15"/>
        <v>198</v>
      </c>
      <c r="B212" s="32">
        <v>118102</v>
      </c>
      <c r="C212" s="32">
        <v>9730060030</v>
      </c>
      <c r="D212" s="30" t="s">
        <v>1522</v>
      </c>
      <c r="E212" s="36">
        <f>E12*35.56</f>
        <v>2631.44</v>
      </c>
      <c r="F212" s="36">
        <f t="shared" si="12"/>
        <v>2499.8679999999999</v>
      </c>
      <c r="G212" s="26">
        <f t="shared" si="13"/>
        <v>2368.2960000000003</v>
      </c>
      <c r="H212" s="26">
        <f t="shared" si="14"/>
        <v>2236.7240000000002</v>
      </c>
    </row>
    <row r="213" spans="1:8" s="29" customFormat="1" x14ac:dyDescent="0.2">
      <c r="A213" s="31">
        <f t="shared" si="15"/>
        <v>199</v>
      </c>
      <c r="B213" s="32" t="s">
        <v>1183</v>
      </c>
      <c r="C213" s="32" t="s">
        <v>1631</v>
      </c>
      <c r="D213" s="30" t="s">
        <v>1630</v>
      </c>
      <c r="E213" s="36">
        <f>E12*81.6</f>
        <v>6038.4</v>
      </c>
      <c r="F213" s="36">
        <f t="shared" si="12"/>
        <v>5736.48</v>
      </c>
      <c r="G213" s="26">
        <f t="shared" si="13"/>
        <v>5434.5599999999995</v>
      </c>
      <c r="H213" s="26">
        <f t="shared" si="14"/>
        <v>5132.6399999999994</v>
      </c>
    </row>
    <row r="214" spans="1:8" x14ac:dyDescent="0.2">
      <c r="A214" s="31">
        <f t="shared" si="15"/>
        <v>200</v>
      </c>
      <c r="B214" s="9" t="s">
        <v>1059</v>
      </c>
      <c r="C214" s="32" t="s">
        <v>1389</v>
      </c>
      <c r="D214" s="1" t="s">
        <v>1388</v>
      </c>
      <c r="E214" s="36">
        <f>E12*6.93</f>
        <v>512.81999999999994</v>
      </c>
      <c r="F214" s="36">
        <f t="shared" si="12"/>
        <v>487.17899999999992</v>
      </c>
      <c r="G214" s="26">
        <f t="shared" si="13"/>
        <v>461.53799999999995</v>
      </c>
      <c r="H214" s="26">
        <f t="shared" si="14"/>
        <v>435.89699999999993</v>
      </c>
    </row>
    <row r="215" spans="1:8" s="29" customFormat="1" x14ac:dyDescent="0.2">
      <c r="A215" s="31">
        <f t="shared" si="15"/>
        <v>201</v>
      </c>
      <c r="B215" s="32">
        <v>328201</v>
      </c>
      <c r="C215" s="32" t="s">
        <v>1385</v>
      </c>
      <c r="D215" s="30" t="s">
        <v>1384</v>
      </c>
      <c r="E215" s="36">
        <f>E12*51.13</f>
        <v>3783.6200000000003</v>
      </c>
      <c r="F215" s="36">
        <f t="shared" si="12"/>
        <v>3594.4390000000003</v>
      </c>
      <c r="G215" s="26">
        <f t="shared" si="13"/>
        <v>3405.2580000000003</v>
      </c>
      <c r="H215" s="26">
        <f t="shared" si="14"/>
        <v>3216.0770000000002</v>
      </c>
    </row>
    <row r="216" spans="1:8" s="29" customFormat="1" x14ac:dyDescent="0.2">
      <c r="A216" s="31">
        <f t="shared" si="15"/>
        <v>202</v>
      </c>
      <c r="B216" s="32">
        <v>328202</v>
      </c>
      <c r="C216" s="32" t="s">
        <v>1535</v>
      </c>
      <c r="D216" s="30" t="s">
        <v>1534</v>
      </c>
      <c r="E216" s="36">
        <f>E12*46.16</f>
        <v>3415.8399999999997</v>
      </c>
      <c r="F216" s="36">
        <f t="shared" si="12"/>
        <v>3245.0479999999998</v>
      </c>
      <c r="G216" s="26">
        <f t="shared" si="13"/>
        <v>3074.2559999999999</v>
      </c>
      <c r="H216" s="26">
        <f t="shared" si="14"/>
        <v>2903.4639999999999</v>
      </c>
    </row>
    <row r="217" spans="1:8" s="29" customFormat="1" x14ac:dyDescent="0.2">
      <c r="A217" s="31">
        <f t="shared" si="15"/>
        <v>203</v>
      </c>
      <c r="B217" s="32" t="s">
        <v>1183</v>
      </c>
      <c r="C217" s="32" t="s">
        <v>1631</v>
      </c>
      <c r="D217" s="30" t="s">
        <v>1630</v>
      </c>
      <c r="E217" s="36">
        <f>E12*81.6</f>
        <v>6038.4</v>
      </c>
      <c r="F217" s="36">
        <f t="shared" si="12"/>
        <v>5736.48</v>
      </c>
      <c r="G217" s="26">
        <f t="shared" si="13"/>
        <v>5434.5599999999995</v>
      </c>
      <c r="H217" s="26">
        <f t="shared" si="14"/>
        <v>5132.6399999999994</v>
      </c>
    </row>
    <row r="218" spans="1:8" x14ac:dyDescent="0.2">
      <c r="A218" s="31">
        <f t="shared" si="15"/>
        <v>204</v>
      </c>
      <c r="B218" s="9" t="s">
        <v>1188</v>
      </c>
      <c r="C218" s="32">
        <v>4035890507</v>
      </c>
      <c r="D218" s="1" t="s">
        <v>1390</v>
      </c>
      <c r="E218" s="36">
        <f>E12*13.08</f>
        <v>967.92</v>
      </c>
      <c r="F218" s="36">
        <f t="shared" si="12"/>
        <v>919.524</v>
      </c>
      <c r="G218" s="26">
        <f t="shared" si="13"/>
        <v>871.12799999999993</v>
      </c>
      <c r="H218" s="26">
        <f t="shared" si="14"/>
        <v>822.73199999999997</v>
      </c>
    </row>
    <row r="219" spans="1:8" x14ac:dyDescent="0.2">
      <c r="A219" s="31">
        <f t="shared" si="15"/>
        <v>205</v>
      </c>
      <c r="B219" s="9" t="s">
        <v>1226</v>
      </c>
      <c r="C219" s="32">
        <v>4035890507</v>
      </c>
      <c r="D219" s="1" t="s">
        <v>1391</v>
      </c>
      <c r="E219" s="36">
        <f>E12*12.6</f>
        <v>932.4</v>
      </c>
      <c r="F219" s="36">
        <f t="shared" si="12"/>
        <v>885.78</v>
      </c>
      <c r="G219" s="26">
        <f t="shared" si="13"/>
        <v>839.16</v>
      </c>
      <c r="H219" s="26">
        <f t="shared" si="14"/>
        <v>792.54</v>
      </c>
    </row>
    <row r="220" spans="1:8" x14ac:dyDescent="0.2">
      <c r="A220" s="31">
        <f t="shared" si="15"/>
        <v>206</v>
      </c>
      <c r="B220" s="9" t="s">
        <v>1056</v>
      </c>
      <c r="C220" s="32" t="s">
        <v>1393</v>
      </c>
      <c r="D220" s="1" t="s">
        <v>1392</v>
      </c>
      <c r="E220" s="36">
        <f>E12*1.25</f>
        <v>92.5</v>
      </c>
      <c r="F220" s="36">
        <f t="shared" si="12"/>
        <v>87.875</v>
      </c>
      <c r="G220" s="26">
        <f t="shared" si="13"/>
        <v>83.25</v>
      </c>
      <c r="H220" s="26">
        <f t="shared" si="14"/>
        <v>78.625</v>
      </c>
    </row>
    <row r="221" spans="1:8" x14ac:dyDescent="0.2">
      <c r="A221" s="31">
        <f t="shared" si="15"/>
        <v>207</v>
      </c>
      <c r="B221" s="9" t="s">
        <v>977</v>
      </c>
      <c r="C221" s="32"/>
      <c r="D221" s="1" t="s">
        <v>978</v>
      </c>
      <c r="E221" s="36">
        <f>E12*2.08</f>
        <v>153.92000000000002</v>
      </c>
      <c r="F221" s="36">
        <f t="shared" si="12"/>
        <v>146.22400000000002</v>
      </c>
      <c r="G221" s="26">
        <f t="shared" si="13"/>
        <v>138.52800000000002</v>
      </c>
      <c r="H221" s="26">
        <f t="shared" si="14"/>
        <v>130.83200000000002</v>
      </c>
    </row>
    <row r="222" spans="1:8" x14ac:dyDescent="0.2">
      <c r="A222" s="31">
        <f t="shared" si="15"/>
        <v>208</v>
      </c>
      <c r="B222" s="9" t="s">
        <v>989</v>
      </c>
      <c r="C222" s="32"/>
      <c r="D222" s="1" t="s">
        <v>450</v>
      </c>
      <c r="E222" s="36">
        <f>E12*50.4</f>
        <v>3729.6</v>
      </c>
      <c r="F222" s="36">
        <f t="shared" si="12"/>
        <v>3543.12</v>
      </c>
      <c r="G222" s="26">
        <f t="shared" si="13"/>
        <v>3356.64</v>
      </c>
      <c r="H222" s="26">
        <f t="shared" si="14"/>
        <v>3170.16</v>
      </c>
    </row>
    <row r="223" spans="1:8" x14ac:dyDescent="0.2">
      <c r="A223" s="31">
        <f t="shared" si="15"/>
        <v>209</v>
      </c>
      <c r="B223" s="9" t="s">
        <v>910</v>
      </c>
      <c r="C223" s="32"/>
      <c r="D223" s="1" t="s">
        <v>909</v>
      </c>
      <c r="E223" s="36">
        <f>E12*123.38</f>
        <v>9130.119999999999</v>
      </c>
      <c r="F223" s="36">
        <f t="shared" si="12"/>
        <v>8673.6139999999996</v>
      </c>
      <c r="G223" s="26">
        <f t="shared" si="13"/>
        <v>8217.1079999999984</v>
      </c>
      <c r="H223" s="26">
        <f t="shared" si="14"/>
        <v>7760.601999999999</v>
      </c>
    </row>
    <row r="224" spans="1:8" x14ac:dyDescent="0.2">
      <c r="A224" s="31">
        <f t="shared" si="15"/>
        <v>210</v>
      </c>
      <c r="B224" s="9" t="s">
        <v>991</v>
      </c>
      <c r="C224" s="32"/>
      <c r="D224" s="1" t="s">
        <v>351</v>
      </c>
      <c r="E224" s="36">
        <f>E12*50.4</f>
        <v>3729.6</v>
      </c>
      <c r="F224" s="36">
        <f t="shared" si="12"/>
        <v>3543.12</v>
      </c>
      <c r="G224" s="26">
        <f t="shared" si="13"/>
        <v>3356.64</v>
      </c>
      <c r="H224" s="26">
        <f t="shared" si="14"/>
        <v>3170.16</v>
      </c>
    </row>
    <row r="225" spans="1:8" x14ac:dyDescent="0.2">
      <c r="A225" s="31">
        <f t="shared" si="15"/>
        <v>211</v>
      </c>
      <c r="B225" s="9" t="s">
        <v>354</v>
      </c>
      <c r="C225" s="32"/>
      <c r="D225" s="1" t="s">
        <v>353</v>
      </c>
      <c r="E225" s="36">
        <f>E12*123.37</f>
        <v>9129.380000000001</v>
      </c>
      <c r="F225" s="36">
        <f t="shared" si="12"/>
        <v>8672.9110000000001</v>
      </c>
      <c r="G225" s="26">
        <f t="shared" si="13"/>
        <v>8216.4420000000009</v>
      </c>
      <c r="H225" s="26">
        <f t="shared" si="14"/>
        <v>7759.9730000000009</v>
      </c>
    </row>
    <row r="226" spans="1:8" x14ac:dyDescent="0.2">
      <c r="A226" s="31">
        <f t="shared" si="15"/>
        <v>212</v>
      </c>
      <c r="B226" s="9" t="s">
        <v>248</v>
      </c>
      <c r="C226" s="32"/>
      <c r="D226" s="1" t="s">
        <v>352</v>
      </c>
      <c r="E226" s="36">
        <f>E12*50.4</f>
        <v>3729.6</v>
      </c>
      <c r="F226" s="36">
        <f t="shared" si="12"/>
        <v>3543.12</v>
      </c>
      <c r="G226" s="26">
        <f t="shared" si="13"/>
        <v>3356.64</v>
      </c>
      <c r="H226" s="26">
        <f t="shared" si="14"/>
        <v>3170.16</v>
      </c>
    </row>
    <row r="227" spans="1:8" x14ac:dyDescent="0.2">
      <c r="A227" s="31">
        <f t="shared" si="15"/>
        <v>213</v>
      </c>
      <c r="B227" s="9" t="s">
        <v>992</v>
      </c>
      <c r="C227" s="32"/>
      <c r="D227" s="1" t="s">
        <v>355</v>
      </c>
      <c r="E227" s="36">
        <f>E12*123.38</f>
        <v>9130.119999999999</v>
      </c>
      <c r="F227" s="36">
        <f t="shared" si="12"/>
        <v>8673.6139999999996</v>
      </c>
      <c r="G227" s="26">
        <f t="shared" si="13"/>
        <v>8217.1079999999984</v>
      </c>
      <c r="H227" s="26">
        <f t="shared" si="14"/>
        <v>7760.601999999999</v>
      </c>
    </row>
    <row r="228" spans="1:8" x14ac:dyDescent="0.2">
      <c r="A228" s="31">
        <f t="shared" si="15"/>
        <v>214</v>
      </c>
      <c r="B228" s="9" t="s">
        <v>993</v>
      </c>
      <c r="C228" s="32"/>
      <c r="D228" s="1" t="s">
        <v>322</v>
      </c>
      <c r="E228" s="36">
        <f>E12*50.4</f>
        <v>3729.6</v>
      </c>
      <c r="F228" s="36">
        <f t="shared" si="12"/>
        <v>3543.12</v>
      </c>
      <c r="G228" s="26">
        <f t="shared" si="13"/>
        <v>3356.64</v>
      </c>
      <c r="H228" s="26">
        <f t="shared" si="14"/>
        <v>3170.16</v>
      </c>
    </row>
    <row r="229" spans="1:8" x14ac:dyDescent="0.2">
      <c r="A229" s="31">
        <f t="shared" si="15"/>
        <v>215</v>
      </c>
      <c r="B229" s="9" t="s">
        <v>357</v>
      </c>
      <c r="C229" s="32"/>
      <c r="D229" s="1" t="s">
        <v>356</v>
      </c>
      <c r="E229" s="36">
        <f>E12*123.37</f>
        <v>9129.380000000001</v>
      </c>
      <c r="F229" s="36">
        <f t="shared" si="12"/>
        <v>8672.9110000000001</v>
      </c>
      <c r="G229" s="26">
        <f t="shared" si="13"/>
        <v>8216.4420000000009</v>
      </c>
      <c r="H229" s="26">
        <f t="shared" si="14"/>
        <v>7759.9730000000009</v>
      </c>
    </row>
    <row r="230" spans="1:8" x14ac:dyDescent="0.2">
      <c r="A230" s="31">
        <f t="shared" si="15"/>
        <v>216</v>
      </c>
      <c r="B230" s="9" t="s">
        <v>792</v>
      </c>
      <c r="C230" s="32"/>
      <c r="D230" s="1" t="s">
        <v>794</v>
      </c>
      <c r="E230" s="36">
        <f>E12*50.4</f>
        <v>3729.6</v>
      </c>
      <c r="F230" s="36">
        <f t="shared" si="12"/>
        <v>3543.12</v>
      </c>
      <c r="G230" s="26">
        <f t="shared" si="13"/>
        <v>3356.64</v>
      </c>
      <c r="H230" s="26">
        <f t="shared" si="14"/>
        <v>3170.16</v>
      </c>
    </row>
    <row r="231" spans="1:8" x14ac:dyDescent="0.2">
      <c r="A231" s="31">
        <f t="shared" si="15"/>
        <v>217</v>
      </c>
      <c r="B231" s="9" t="s">
        <v>793</v>
      </c>
      <c r="C231" s="32"/>
      <c r="D231" s="1" t="s">
        <v>795</v>
      </c>
      <c r="E231" s="36">
        <f>E12*50.4</f>
        <v>3729.6</v>
      </c>
      <c r="F231" s="36">
        <f t="shared" si="12"/>
        <v>3543.12</v>
      </c>
      <c r="G231" s="26">
        <f t="shared" si="13"/>
        <v>3356.64</v>
      </c>
      <c r="H231" s="26">
        <f t="shared" si="14"/>
        <v>3170.16</v>
      </c>
    </row>
    <row r="232" spans="1:8" x14ac:dyDescent="0.2">
      <c r="A232" s="31">
        <f t="shared" si="15"/>
        <v>218</v>
      </c>
      <c r="B232" s="9">
        <v>5031931200</v>
      </c>
      <c r="C232" s="32">
        <v>4030530096</v>
      </c>
      <c r="D232" s="1" t="s">
        <v>1023</v>
      </c>
      <c r="E232" s="36">
        <f>E12*0.91</f>
        <v>67.34</v>
      </c>
      <c r="F232" s="36">
        <f t="shared" si="12"/>
        <v>63.973000000000006</v>
      </c>
      <c r="G232" s="26">
        <f t="shared" si="13"/>
        <v>60.606000000000002</v>
      </c>
      <c r="H232" s="26">
        <f t="shared" si="14"/>
        <v>57.239000000000004</v>
      </c>
    </row>
    <row r="233" spans="1:8" x14ac:dyDescent="0.2">
      <c r="A233" s="31">
        <f t="shared" si="15"/>
        <v>219</v>
      </c>
      <c r="B233" s="9" t="s">
        <v>1236</v>
      </c>
      <c r="C233" s="32" t="s">
        <v>1395</v>
      </c>
      <c r="D233" s="1" t="s">
        <v>1394</v>
      </c>
      <c r="E233" s="36">
        <f>E12*74.57</f>
        <v>5518.1799999999994</v>
      </c>
      <c r="F233" s="36">
        <f t="shared" si="12"/>
        <v>5242.2709999999997</v>
      </c>
      <c r="G233" s="26">
        <f t="shared" si="13"/>
        <v>4966.3619999999992</v>
      </c>
      <c r="H233" s="26">
        <f t="shared" si="14"/>
        <v>4690.4529999999995</v>
      </c>
    </row>
    <row r="234" spans="1:8" x14ac:dyDescent="0.2">
      <c r="A234" s="31">
        <f t="shared" si="15"/>
        <v>220</v>
      </c>
      <c r="B234" s="9" t="s">
        <v>1221</v>
      </c>
      <c r="C234" s="32" t="s">
        <v>1397</v>
      </c>
      <c r="D234" s="1" t="s">
        <v>1396</v>
      </c>
      <c r="E234" s="36">
        <f>E12*64</f>
        <v>4736</v>
      </c>
      <c r="F234" s="36">
        <f t="shared" si="12"/>
        <v>4499.2</v>
      </c>
      <c r="G234" s="26">
        <f t="shared" si="13"/>
        <v>4262.3999999999996</v>
      </c>
      <c r="H234" s="26">
        <f t="shared" si="14"/>
        <v>4025.6</v>
      </c>
    </row>
    <row r="235" spans="1:8" x14ac:dyDescent="0.2">
      <c r="A235" s="31">
        <f t="shared" si="15"/>
        <v>221</v>
      </c>
      <c r="B235" s="9" t="s">
        <v>1067</v>
      </c>
      <c r="C235" s="32" t="s">
        <v>1399</v>
      </c>
      <c r="D235" s="1" t="s">
        <v>1398</v>
      </c>
      <c r="E235" s="36">
        <f>E12*52.49</f>
        <v>3884.26</v>
      </c>
      <c r="F235" s="36">
        <f t="shared" si="12"/>
        <v>3690.047</v>
      </c>
      <c r="G235" s="26">
        <f t="shared" si="13"/>
        <v>3495.8340000000003</v>
      </c>
      <c r="H235" s="26">
        <f t="shared" si="14"/>
        <v>3301.6210000000001</v>
      </c>
    </row>
    <row r="236" spans="1:8" x14ac:dyDescent="0.2">
      <c r="A236" s="31">
        <f t="shared" si="15"/>
        <v>222</v>
      </c>
      <c r="B236" s="9" t="s">
        <v>1215</v>
      </c>
      <c r="C236" s="32" t="s">
        <v>1401</v>
      </c>
      <c r="D236" s="1" t="s">
        <v>1400</v>
      </c>
      <c r="E236" s="36">
        <f>E12*52.04</f>
        <v>3850.96</v>
      </c>
      <c r="F236" s="36">
        <f t="shared" si="12"/>
        <v>3658.4120000000003</v>
      </c>
      <c r="G236" s="26">
        <f t="shared" si="13"/>
        <v>3465.864</v>
      </c>
      <c r="H236" s="26">
        <f t="shared" si="14"/>
        <v>3273.3159999999998</v>
      </c>
    </row>
    <row r="237" spans="1:8" x14ac:dyDescent="0.2">
      <c r="A237" s="31">
        <f t="shared" si="15"/>
        <v>223</v>
      </c>
      <c r="B237" s="9" t="s">
        <v>969</v>
      </c>
      <c r="C237" s="32" t="s">
        <v>1403</v>
      </c>
      <c r="D237" s="1" t="s">
        <v>1402</v>
      </c>
      <c r="E237" s="36">
        <f>E12*23.51</f>
        <v>1739.74</v>
      </c>
      <c r="F237" s="36">
        <f t="shared" si="12"/>
        <v>1652.7529999999999</v>
      </c>
      <c r="G237" s="26">
        <f t="shared" si="13"/>
        <v>1565.7660000000001</v>
      </c>
      <c r="H237" s="26">
        <f t="shared" si="14"/>
        <v>1478.779</v>
      </c>
    </row>
    <row r="238" spans="1:8" x14ac:dyDescent="0.2">
      <c r="A238" s="31">
        <f t="shared" si="15"/>
        <v>224</v>
      </c>
      <c r="B238" s="9" t="s">
        <v>968</v>
      </c>
      <c r="C238" s="32" t="s">
        <v>1405</v>
      </c>
      <c r="D238" s="1" t="s">
        <v>1404</v>
      </c>
      <c r="E238" s="36">
        <f>E12*60.51</f>
        <v>4477.74</v>
      </c>
      <c r="F238" s="36">
        <f t="shared" si="12"/>
        <v>4253.8530000000001</v>
      </c>
      <c r="G238" s="26">
        <f t="shared" si="13"/>
        <v>4029.9659999999999</v>
      </c>
      <c r="H238" s="26">
        <f t="shared" si="14"/>
        <v>3806.0789999999997</v>
      </c>
    </row>
    <row r="239" spans="1:8" x14ac:dyDescent="0.2">
      <c r="A239" s="31">
        <f t="shared" si="15"/>
        <v>225</v>
      </c>
      <c r="B239" s="9" t="s">
        <v>686</v>
      </c>
      <c r="C239" s="32" t="s">
        <v>1407</v>
      </c>
      <c r="D239" s="1" t="s">
        <v>1406</v>
      </c>
      <c r="E239" s="36">
        <f>E12*45.65</f>
        <v>3378.1</v>
      </c>
      <c r="F239" s="36">
        <f t="shared" ref="F239:F288" si="16">E239-E239*5%</f>
        <v>3209.1949999999997</v>
      </c>
      <c r="G239" s="26">
        <f t="shared" ref="G239:G288" si="17">E239-E239*10%</f>
        <v>3040.29</v>
      </c>
      <c r="H239" s="26">
        <f t="shared" ref="H239:H245" si="18">E239-E239*15%</f>
        <v>2871.3849999999998</v>
      </c>
    </row>
    <row r="240" spans="1:8" x14ac:dyDescent="0.2">
      <c r="A240" s="31">
        <f t="shared" si="15"/>
        <v>226</v>
      </c>
      <c r="B240" s="9" t="s">
        <v>1266</v>
      </c>
      <c r="C240" s="32" t="s">
        <v>1409</v>
      </c>
      <c r="D240" s="1" t="s">
        <v>1408</v>
      </c>
      <c r="E240" s="36">
        <f>E12*49.8</f>
        <v>3685.2</v>
      </c>
      <c r="F240" s="36">
        <f t="shared" si="16"/>
        <v>3500.9399999999996</v>
      </c>
      <c r="G240" s="26">
        <f t="shared" si="17"/>
        <v>3316.68</v>
      </c>
      <c r="H240" s="26">
        <f t="shared" si="18"/>
        <v>3132.42</v>
      </c>
    </row>
    <row r="241" spans="1:8" x14ac:dyDescent="0.2">
      <c r="A241" s="31">
        <f t="shared" si="15"/>
        <v>227</v>
      </c>
      <c r="B241" s="9" t="s">
        <v>687</v>
      </c>
      <c r="C241" s="32" t="s">
        <v>1411</v>
      </c>
      <c r="D241" s="1" t="s">
        <v>1410</v>
      </c>
      <c r="E241" s="36">
        <f>E12*53.95</f>
        <v>3992.3</v>
      </c>
      <c r="F241" s="36">
        <f t="shared" si="16"/>
        <v>3792.6850000000004</v>
      </c>
      <c r="G241" s="26">
        <f t="shared" si="17"/>
        <v>3593.07</v>
      </c>
      <c r="H241" s="26">
        <f t="shared" si="18"/>
        <v>3393.4549999999999</v>
      </c>
    </row>
    <row r="242" spans="1:8" x14ac:dyDescent="0.2">
      <c r="A242" s="31">
        <f t="shared" si="15"/>
        <v>228</v>
      </c>
      <c r="B242" s="9" t="s">
        <v>696</v>
      </c>
      <c r="C242" s="32" t="s">
        <v>1413</v>
      </c>
      <c r="D242" s="1" t="s">
        <v>1412</v>
      </c>
      <c r="E242" s="36">
        <f>E12*62.25</f>
        <v>4606.5</v>
      </c>
      <c r="F242" s="36">
        <f t="shared" si="16"/>
        <v>4376.1750000000002</v>
      </c>
      <c r="G242" s="26">
        <f t="shared" si="17"/>
        <v>4145.8500000000004</v>
      </c>
      <c r="H242" s="26">
        <f t="shared" si="18"/>
        <v>3915.5250000000001</v>
      </c>
    </row>
    <row r="243" spans="1:8" x14ac:dyDescent="0.2">
      <c r="A243" s="31">
        <f t="shared" si="15"/>
        <v>229</v>
      </c>
      <c r="B243" s="9" t="s">
        <v>672</v>
      </c>
      <c r="C243" s="32" t="s">
        <v>1415</v>
      </c>
      <c r="D243" s="1" t="s">
        <v>1414</v>
      </c>
      <c r="E243" s="36">
        <f>E12*37.35</f>
        <v>2763.9</v>
      </c>
      <c r="F243" s="36">
        <f t="shared" si="16"/>
        <v>2625.7049999999999</v>
      </c>
      <c r="G243" s="26">
        <f t="shared" si="17"/>
        <v>2487.5100000000002</v>
      </c>
      <c r="H243" s="26">
        <f t="shared" si="18"/>
        <v>2349.3150000000001</v>
      </c>
    </row>
    <row r="244" spans="1:8" x14ac:dyDescent="0.2">
      <c r="A244" s="31">
        <f t="shared" si="15"/>
        <v>230</v>
      </c>
      <c r="B244" s="9" t="s">
        <v>688</v>
      </c>
      <c r="C244" s="32" t="s">
        <v>1416</v>
      </c>
      <c r="D244" s="1" t="s">
        <v>1417</v>
      </c>
      <c r="E244" s="36">
        <f>E12*44.56</f>
        <v>3297.44</v>
      </c>
      <c r="F244" s="36">
        <f t="shared" si="16"/>
        <v>3132.5680000000002</v>
      </c>
      <c r="G244" s="26">
        <f t="shared" si="17"/>
        <v>2967.6959999999999</v>
      </c>
      <c r="H244" s="26">
        <f t="shared" si="18"/>
        <v>2802.8240000000001</v>
      </c>
    </row>
    <row r="245" spans="1:8" x14ac:dyDescent="0.2">
      <c r="A245" s="31">
        <f t="shared" si="15"/>
        <v>231</v>
      </c>
      <c r="B245" s="9" t="s">
        <v>823</v>
      </c>
      <c r="C245" s="32" t="s">
        <v>1419</v>
      </c>
      <c r="D245" s="1" t="s">
        <v>1418</v>
      </c>
      <c r="E245" s="36">
        <f>E12*8.31</f>
        <v>614.94000000000005</v>
      </c>
      <c r="F245" s="36">
        <f t="shared" si="16"/>
        <v>584.1930000000001</v>
      </c>
      <c r="G245" s="26">
        <f t="shared" si="17"/>
        <v>553.44600000000003</v>
      </c>
      <c r="H245" s="26">
        <f t="shared" si="18"/>
        <v>522.69900000000007</v>
      </c>
    </row>
    <row r="246" spans="1:8" x14ac:dyDescent="0.2">
      <c r="A246" s="31">
        <f t="shared" si="15"/>
        <v>232</v>
      </c>
      <c r="B246" s="9" t="s">
        <v>888</v>
      </c>
      <c r="C246" s="32"/>
      <c r="D246" s="1" t="s">
        <v>1420</v>
      </c>
      <c r="E246" s="36">
        <f>E12*8.41</f>
        <v>622.34</v>
      </c>
      <c r="F246" s="36">
        <f t="shared" si="16"/>
        <v>591.22300000000007</v>
      </c>
      <c r="G246" s="26">
        <f t="shared" si="17"/>
        <v>560.10599999999999</v>
      </c>
      <c r="H246" s="26">
        <f t="shared" ref="H246:H288" si="19">E246-E246*15%</f>
        <v>528.98900000000003</v>
      </c>
    </row>
    <row r="247" spans="1:8" x14ac:dyDescent="0.2">
      <c r="A247" s="31">
        <f t="shared" si="15"/>
        <v>233</v>
      </c>
      <c r="B247" s="9" t="s">
        <v>446</v>
      </c>
      <c r="C247" s="32" t="s">
        <v>1421</v>
      </c>
      <c r="D247" s="1" t="s">
        <v>269</v>
      </c>
      <c r="E247" s="36">
        <f>E12*16.25</f>
        <v>1202.5</v>
      </c>
      <c r="F247" s="36">
        <f t="shared" si="16"/>
        <v>1142.375</v>
      </c>
      <c r="G247" s="26">
        <f t="shared" si="17"/>
        <v>1082.25</v>
      </c>
      <c r="H247" s="26">
        <f t="shared" si="19"/>
        <v>1022.125</v>
      </c>
    </row>
    <row r="248" spans="1:8" x14ac:dyDescent="0.2">
      <c r="A248" s="31">
        <f t="shared" si="15"/>
        <v>234</v>
      </c>
      <c r="B248" s="9" t="s">
        <v>84</v>
      </c>
      <c r="C248" s="32"/>
      <c r="D248" s="1" t="s">
        <v>57</v>
      </c>
      <c r="E248" s="36">
        <f>E12*1.13</f>
        <v>83.61999999999999</v>
      </c>
      <c r="F248" s="36">
        <f t="shared" si="16"/>
        <v>79.438999999999993</v>
      </c>
      <c r="G248" s="26">
        <f t="shared" si="17"/>
        <v>75.257999999999996</v>
      </c>
      <c r="H248" s="26">
        <f t="shared" si="19"/>
        <v>71.076999999999998</v>
      </c>
    </row>
    <row r="249" spans="1:8" x14ac:dyDescent="0.2">
      <c r="A249" s="31">
        <f t="shared" si="15"/>
        <v>235</v>
      </c>
      <c r="B249" s="9" t="s">
        <v>85</v>
      </c>
      <c r="C249" s="32"/>
      <c r="D249" s="1" t="s">
        <v>58</v>
      </c>
      <c r="E249" s="36">
        <f>E12*1.13</f>
        <v>83.61999999999999</v>
      </c>
      <c r="F249" s="36">
        <f t="shared" si="16"/>
        <v>79.438999999999993</v>
      </c>
      <c r="G249" s="26">
        <f t="shared" si="17"/>
        <v>75.257999999999996</v>
      </c>
      <c r="H249" s="26">
        <f t="shared" si="19"/>
        <v>71.076999999999998</v>
      </c>
    </row>
    <row r="250" spans="1:8" x14ac:dyDescent="0.2">
      <c r="A250" s="31">
        <f t="shared" si="15"/>
        <v>236</v>
      </c>
      <c r="B250" s="9" t="s">
        <v>1258</v>
      </c>
      <c r="C250" s="32"/>
      <c r="D250" s="1" t="s">
        <v>240</v>
      </c>
      <c r="E250" s="36">
        <f>E12*1.13</f>
        <v>83.61999999999999</v>
      </c>
      <c r="F250" s="36">
        <f t="shared" si="16"/>
        <v>79.438999999999993</v>
      </c>
      <c r="G250" s="26">
        <f t="shared" si="17"/>
        <v>75.257999999999996</v>
      </c>
      <c r="H250" s="26">
        <f t="shared" si="19"/>
        <v>71.076999999999998</v>
      </c>
    </row>
    <row r="251" spans="1:8" x14ac:dyDescent="0.2">
      <c r="A251" s="31">
        <f t="shared" si="15"/>
        <v>237</v>
      </c>
      <c r="B251" s="9" t="s">
        <v>236</v>
      </c>
      <c r="C251" s="32"/>
      <c r="D251" s="1" t="s">
        <v>241</v>
      </c>
      <c r="E251" s="36">
        <f>E12*1.13</f>
        <v>83.61999999999999</v>
      </c>
      <c r="F251" s="36">
        <f t="shared" si="16"/>
        <v>79.438999999999993</v>
      </c>
      <c r="G251" s="26">
        <f t="shared" si="17"/>
        <v>75.257999999999996</v>
      </c>
      <c r="H251" s="26">
        <f t="shared" si="19"/>
        <v>71.076999999999998</v>
      </c>
    </row>
    <row r="252" spans="1:8" x14ac:dyDescent="0.2">
      <c r="A252" s="31">
        <f t="shared" si="15"/>
        <v>238</v>
      </c>
      <c r="B252" s="9" t="s">
        <v>245</v>
      </c>
      <c r="C252" s="32"/>
      <c r="D252" s="1" t="s">
        <v>1422</v>
      </c>
      <c r="E252" s="36">
        <f>E12*1.98</f>
        <v>146.52000000000001</v>
      </c>
      <c r="F252" s="36">
        <f t="shared" si="16"/>
        <v>139.19400000000002</v>
      </c>
      <c r="G252" s="26">
        <f t="shared" si="17"/>
        <v>131.86799999999999</v>
      </c>
      <c r="H252" s="26">
        <f t="shared" si="19"/>
        <v>124.542</v>
      </c>
    </row>
    <row r="253" spans="1:8" x14ac:dyDescent="0.2">
      <c r="A253" s="31">
        <f t="shared" si="15"/>
        <v>239</v>
      </c>
      <c r="B253" s="9" t="s">
        <v>1201</v>
      </c>
      <c r="C253" s="32">
        <v>4471310215</v>
      </c>
      <c r="D253" s="1" t="s">
        <v>1431</v>
      </c>
      <c r="E253" s="36">
        <f>E12*101.4</f>
        <v>7503.6</v>
      </c>
      <c r="F253" s="36">
        <f t="shared" si="16"/>
        <v>7128.42</v>
      </c>
      <c r="G253" s="26">
        <f t="shared" si="17"/>
        <v>6753.24</v>
      </c>
      <c r="H253" s="26">
        <f t="shared" si="19"/>
        <v>6378.06</v>
      </c>
    </row>
    <row r="254" spans="1:8" x14ac:dyDescent="0.2">
      <c r="A254" s="31">
        <f t="shared" si="15"/>
        <v>240</v>
      </c>
      <c r="B254" s="9" t="s">
        <v>898</v>
      </c>
      <c r="C254" s="32">
        <v>4421800111</v>
      </c>
      <c r="D254" s="1" t="s">
        <v>1432</v>
      </c>
      <c r="E254" s="36">
        <f>E12*249.81</f>
        <v>18485.939999999999</v>
      </c>
      <c r="F254" s="36">
        <f t="shared" si="16"/>
        <v>17561.643</v>
      </c>
      <c r="G254" s="26">
        <f t="shared" si="17"/>
        <v>16637.345999999998</v>
      </c>
      <c r="H254" s="26">
        <f t="shared" si="19"/>
        <v>15713.048999999999</v>
      </c>
    </row>
    <row r="255" spans="1:8" s="29" customFormat="1" x14ac:dyDescent="0.2">
      <c r="A255" s="31">
        <f t="shared" si="15"/>
        <v>241</v>
      </c>
      <c r="B255" s="32">
        <v>1882301239</v>
      </c>
      <c r="C255" s="32" t="s">
        <v>1434</v>
      </c>
      <c r="D255" s="30" t="s">
        <v>1433</v>
      </c>
      <c r="E255" s="36">
        <f>E12*338</f>
        <v>25012</v>
      </c>
      <c r="F255" s="36">
        <f t="shared" si="16"/>
        <v>23761.4</v>
      </c>
      <c r="G255" s="26">
        <f t="shared" si="17"/>
        <v>22510.799999999999</v>
      </c>
      <c r="H255" s="26">
        <f t="shared" si="19"/>
        <v>21260.2</v>
      </c>
    </row>
    <row r="256" spans="1:8" x14ac:dyDescent="0.2">
      <c r="A256" s="31">
        <f t="shared" si="15"/>
        <v>242</v>
      </c>
      <c r="B256" s="9">
        <v>3482083032</v>
      </c>
      <c r="C256" s="32">
        <v>81303050193</v>
      </c>
      <c r="D256" s="1" t="s">
        <v>1435</v>
      </c>
      <c r="E256" s="36">
        <f>E12*322</f>
        <v>23828</v>
      </c>
      <c r="F256" s="36">
        <f t="shared" si="16"/>
        <v>22636.6</v>
      </c>
      <c r="G256" s="26">
        <f t="shared" si="17"/>
        <v>21445.200000000001</v>
      </c>
      <c r="H256" s="26">
        <f t="shared" si="19"/>
        <v>20253.8</v>
      </c>
    </row>
    <row r="257" spans="1:8" s="29" customFormat="1" x14ac:dyDescent="0.2">
      <c r="A257" s="31">
        <f t="shared" si="15"/>
        <v>243</v>
      </c>
      <c r="B257" s="32">
        <v>3482081231</v>
      </c>
      <c r="C257" s="32" t="s">
        <v>1437</v>
      </c>
      <c r="D257" s="30" t="s">
        <v>1436</v>
      </c>
      <c r="E257" s="36">
        <f>E12*310.6</f>
        <v>22984.400000000001</v>
      </c>
      <c r="F257" s="36">
        <f t="shared" si="16"/>
        <v>21835.18</v>
      </c>
      <c r="G257" s="26">
        <f t="shared" si="17"/>
        <v>20685.960000000003</v>
      </c>
      <c r="H257" s="26">
        <f t="shared" si="19"/>
        <v>19536.740000000002</v>
      </c>
    </row>
    <row r="258" spans="1:8" x14ac:dyDescent="0.2">
      <c r="A258" s="31">
        <f t="shared" si="15"/>
        <v>244</v>
      </c>
      <c r="B258" s="9">
        <v>322204</v>
      </c>
      <c r="C258" s="32">
        <v>4324100340</v>
      </c>
      <c r="D258" s="1" t="s">
        <v>1438</v>
      </c>
      <c r="E258" s="36">
        <f>E12*54.65</f>
        <v>4044.1</v>
      </c>
      <c r="F258" s="36">
        <f t="shared" si="16"/>
        <v>3841.895</v>
      </c>
      <c r="G258" s="26">
        <f t="shared" si="17"/>
        <v>3639.69</v>
      </c>
      <c r="H258" s="26">
        <f t="shared" si="19"/>
        <v>3437.4849999999997</v>
      </c>
    </row>
    <row r="259" spans="1:8" x14ac:dyDescent="0.2">
      <c r="A259" s="31">
        <f t="shared" si="15"/>
        <v>245</v>
      </c>
      <c r="B259" s="9" t="s">
        <v>962</v>
      </c>
      <c r="C259" s="32">
        <v>4324101040</v>
      </c>
      <c r="D259" s="1" t="s">
        <v>1439</v>
      </c>
      <c r="E259" s="36">
        <f>E12*54.65</f>
        <v>4044.1</v>
      </c>
      <c r="F259" s="36">
        <f t="shared" si="16"/>
        <v>3841.895</v>
      </c>
      <c r="G259" s="26">
        <f t="shared" si="17"/>
        <v>3639.69</v>
      </c>
      <c r="H259" s="26">
        <f t="shared" si="19"/>
        <v>3437.4849999999997</v>
      </c>
    </row>
    <row r="260" spans="1:8" x14ac:dyDescent="0.2">
      <c r="A260" s="31">
        <f t="shared" si="15"/>
        <v>246</v>
      </c>
      <c r="B260" s="9">
        <v>323500</v>
      </c>
      <c r="C260" s="32"/>
      <c r="D260" s="1" t="s">
        <v>1440</v>
      </c>
      <c r="E260" s="36">
        <f>E12*60.48</f>
        <v>4475.5199999999995</v>
      </c>
      <c r="F260" s="36">
        <f t="shared" si="16"/>
        <v>4251.7439999999997</v>
      </c>
      <c r="G260" s="26">
        <f t="shared" si="17"/>
        <v>4027.9679999999994</v>
      </c>
      <c r="H260" s="26">
        <f t="shared" si="19"/>
        <v>3804.1919999999996</v>
      </c>
    </row>
    <row r="261" spans="1:8" x14ac:dyDescent="0.2">
      <c r="A261" s="31">
        <f t="shared" si="15"/>
        <v>247</v>
      </c>
      <c r="B261" s="9" t="s">
        <v>610</v>
      </c>
      <c r="C261" s="32">
        <v>1351443</v>
      </c>
      <c r="D261" s="1" t="s">
        <v>1441</v>
      </c>
      <c r="E261" s="36">
        <f>E12*66.06</f>
        <v>4888.4400000000005</v>
      </c>
      <c r="F261" s="36">
        <f t="shared" si="16"/>
        <v>4644.018</v>
      </c>
      <c r="G261" s="26">
        <f t="shared" si="17"/>
        <v>4399.5960000000005</v>
      </c>
      <c r="H261" s="26">
        <f t="shared" si="19"/>
        <v>4155.1740000000009</v>
      </c>
    </row>
    <row r="262" spans="1:8" x14ac:dyDescent="0.2">
      <c r="A262" s="31">
        <f t="shared" si="15"/>
        <v>248</v>
      </c>
      <c r="B262" s="9" t="s">
        <v>609</v>
      </c>
      <c r="C262" s="32">
        <v>4324100837</v>
      </c>
      <c r="D262" s="1" t="s">
        <v>1442</v>
      </c>
      <c r="E262" s="36">
        <f>E12*54</f>
        <v>3996</v>
      </c>
      <c r="F262" s="36">
        <f t="shared" si="16"/>
        <v>3796.2</v>
      </c>
      <c r="G262" s="26">
        <f t="shared" si="17"/>
        <v>3596.4</v>
      </c>
      <c r="H262" s="26">
        <f t="shared" si="19"/>
        <v>3396.6</v>
      </c>
    </row>
    <row r="263" spans="1:8" x14ac:dyDescent="0.2">
      <c r="A263" s="31">
        <f t="shared" si="15"/>
        <v>249</v>
      </c>
      <c r="B263" s="9" t="s">
        <v>631</v>
      </c>
      <c r="C263" s="32">
        <v>1443155</v>
      </c>
      <c r="D263" s="1" t="s">
        <v>1443</v>
      </c>
      <c r="E263" s="36">
        <f>E12*81.16</f>
        <v>6005.84</v>
      </c>
      <c r="F263" s="36">
        <f t="shared" si="16"/>
        <v>5705.5479999999998</v>
      </c>
      <c r="G263" s="26">
        <f t="shared" si="17"/>
        <v>5405.2560000000003</v>
      </c>
      <c r="H263" s="26">
        <f t="shared" si="19"/>
        <v>5104.9639999999999</v>
      </c>
    </row>
    <row r="264" spans="1:8" x14ac:dyDescent="0.2">
      <c r="A264" s="31">
        <f t="shared" si="15"/>
        <v>250</v>
      </c>
      <c r="B264" s="9" t="s">
        <v>612</v>
      </c>
      <c r="C264" s="32">
        <v>4324100350</v>
      </c>
      <c r="D264" s="1" t="s">
        <v>1444</v>
      </c>
      <c r="E264" s="36">
        <f>E12*56.81</f>
        <v>4203.9400000000005</v>
      </c>
      <c r="F264" s="36">
        <f t="shared" si="16"/>
        <v>3993.7430000000004</v>
      </c>
      <c r="G264" s="26">
        <f t="shared" si="17"/>
        <v>3783.5460000000003</v>
      </c>
      <c r="H264" s="26">
        <f t="shared" si="19"/>
        <v>3573.3490000000006</v>
      </c>
    </row>
    <row r="265" spans="1:8" x14ac:dyDescent="0.2">
      <c r="A265" s="31">
        <f t="shared" si="15"/>
        <v>251</v>
      </c>
      <c r="B265" s="9" t="s">
        <v>613</v>
      </c>
      <c r="C265" s="32">
        <v>4324101170</v>
      </c>
      <c r="D265" s="1" t="s">
        <v>1445</v>
      </c>
      <c r="E265" s="36">
        <f>E12*55.66</f>
        <v>4118.84</v>
      </c>
      <c r="F265" s="36">
        <f t="shared" si="16"/>
        <v>3912.8980000000001</v>
      </c>
      <c r="G265" s="26">
        <f t="shared" si="17"/>
        <v>3706.9560000000001</v>
      </c>
      <c r="H265" s="26">
        <f t="shared" si="19"/>
        <v>3501.0140000000001</v>
      </c>
    </row>
    <row r="266" spans="1:8" x14ac:dyDescent="0.2">
      <c r="A266" s="31">
        <f t="shared" si="15"/>
        <v>252</v>
      </c>
      <c r="B266" s="9" t="s">
        <v>614</v>
      </c>
      <c r="C266" s="32">
        <v>4324101150</v>
      </c>
      <c r="D266" s="1" t="s">
        <v>1446</v>
      </c>
      <c r="E266" s="36">
        <f>E12*54.71</f>
        <v>4048.54</v>
      </c>
      <c r="F266" s="36">
        <f t="shared" si="16"/>
        <v>3846.1129999999998</v>
      </c>
      <c r="G266" s="26">
        <f t="shared" si="17"/>
        <v>3643.6859999999997</v>
      </c>
      <c r="H266" s="26">
        <f t="shared" si="19"/>
        <v>3441.259</v>
      </c>
    </row>
    <row r="267" spans="1:8" x14ac:dyDescent="0.2">
      <c r="A267" s="31">
        <f t="shared" si="15"/>
        <v>253</v>
      </c>
      <c r="B267" s="9" t="s">
        <v>632</v>
      </c>
      <c r="C267" s="32">
        <v>4324100350</v>
      </c>
      <c r="D267" s="1" t="s">
        <v>1447</v>
      </c>
      <c r="E267" s="36">
        <f>E12*76.08</f>
        <v>5629.92</v>
      </c>
      <c r="F267" s="36">
        <f t="shared" si="16"/>
        <v>5348.424</v>
      </c>
      <c r="G267" s="26">
        <f t="shared" si="17"/>
        <v>5066.9279999999999</v>
      </c>
      <c r="H267" s="26">
        <f t="shared" si="19"/>
        <v>4785.4319999999998</v>
      </c>
    </row>
    <row r="268" spans="1:8" x14ac:dyDescent="0.2">
      <c r="A268" s="31">
        <f t="shared" si="15"/>
        <v>254</v>
      </c>
      <c r="B268" s="9" t="s">
        <v>615</v>
      </c>
      <c r="C268" s="32">
        <v>4324101040</v>
      </c>
      <c r="D268" s="25" t="s">
        <v>1448</v>
      </c>
      <c r="E268" s="36">
        <f>E12*54.65</f>
        <v>4044.1</v>
      </c>
      <c r="F268" s="36">
        <f t="shared" si="16"/>
        <v>3841.895</v>
      </c>
      <c r="G268" s="26">
        <f t="shared" si="17"/>
        <v>3639.69</v>
      </c>
      <c r="H268" s="26">
        <f t="shared" si="19"/>
        <v>3437.4849999999997</v>
      </c>
    </row>
    <row r="269" spans="1:8" x14ac:dyDescent="0.2">
      <c r="A269" s="31">
        <f t="shared" si="15"/>
        <v>255</v>
      </c>
      <c r="B269" s="9" t="s">
        <v>616</v>
      </c>
      <c r="C269" s="32">
        <v>4324100210</v>
      </c>
      <c r="D269" s="1" t="s">
        <v>1449</v>
      </c>
      <c r="E269" s="36">
        <f>E12*56.81</f>
        <v>4203.9400000000005</v>
      </c>
      <c r="F269" s="36">
        <f t="shared" si="16"/>
        <v>3993.7430000000004</v>
      </c>
      <c r="G269" s="26">
        <f t="shared" si="17"/>
        <v>3783.5460000000003</v>
      </c>
      <c r="H269" s="26">
        <f t="shared" si="19"/>
        <v>3573.3490000000006</v>
      </c>
    </row>
    <row r="270" spans="1:8" s="29" customFormat="1" x14ac:dyDescent="0.2">
      <c r="A270" s="31">
        <f t="shared" si="15"/>
        <v>256</v>
      </c>
      <c r="B270" s="32">
        <v>322200</v>
      </c>
      <c r="C270" s="32">
        <v>4324100200</v>
      </c>
      <c r="D270" s="30" t="s">
        <v>1527</v>
      </c>
      <c r="E270" s="36">
        <f>E12*59.65</f>
        <v>4414.0999999999995</v>
      </c>
      <c r="F270" s="36">
        <f t="shared" si="16"/>
        <v>4193.3949999999995</v>
      </c>
      <c r="G270" s="26">
        <f t="shared" si="17"/>
        <v>3972.6899999999996</v>
      </c>
      <c r="H270" s="26"/>
    </row>
    <row r="271" spans="1:8" s="29" customFormat="1" x14ac:dyDescent="0.2">
      <c r="A271" s="31">
        <f t="shared" si="15"/>
        <v>257</v>
      </c>
      <c r="B271" s="32">
        <v>322237</v>
      </c>
      <c r="C271" s="32" t="s">
        <v>1530</v>
      </c>
      <c r="D271" s="30" t="s">
        <v>1531</v>
      </c>
      <c r="E271" s="36">
        <f>E12*54.65</f>
        <v>4044.1</v>
      </c>
      <c r="F271" s="36">
        <f t="shared" si="16"/>
        <v>3841.895</v>
      </c>
      <c r="G271" s="26">
        <f t="shared" si="17"/>
        <v>3639.69</v>
      </c>
      <c r="H271" s="26"/>
    </row>
    <row r="272" spans="1:8" s="29" customFormat="1" x14ac:dyDescent="0.2">
      <c r="A272" s="31">
        <f t="shared" si="15"/>
        <v>258</v>
      </c>
      <c r="B272" s="32">
        <v>322246</v>
      </c>
      <c r="C272" s="32">
        <v>4324101040</v>
      </c>
      <c r="D272" s="30" t="s">
        <v>1532</v>
      </c>
      <c r="E272" s="36">
        <f>E12*54.65</f>
        <v>4044.1</v>
      </c>
      <c r="F272" s="36">
        <f t="shared" si="16"/>
        <v>3841.895</v>
      </c>
      <c r="G272" s="26">
        <f t="shared" si="17"/>
        <v>3639.69</v>
      </c>
      <c r="H272" s="26"/>
    </row>
    <row r="273" spans="1:8" x14ac:dyDescent="0.2">
      <c r="A273" s="31">
        <f t="shared" ref="A273:A336" si="20">A272+1</f>
        <v>259</v>
      </c>
      <c r="B273" s="9" t="s">
        <v>654</v>
      </c>
      <c r="C273" s="32">
        <v>4520021070</v>
      </c>
      <c r="D273" s="1" t="s">
        <v>500</v>
      </c>
      <c r="E273" s="36">
        <f>E12*17.9</f>
        <v>1324.6</v>
      </c>
      <c r="F273" s="36">
        <f t="shared" si="16"/>
        <v>1258.3699999999999</v>
      </c>
      <c r="G273" s="26">
        <f t="shared" si="17"/>
        <v>1192.1399999999999</v>
      </c>
      <c r="H273" s="26">
        <f t="shared" si="19"/>
        <v>1125.9099999999999</v>
      </c>
    </row>
    <row r="274" spans="1:8" x14ac:dyDescent="0.2">
      <c r="A274" s="31">
        <f t="shared" si="20"/>
        <v>260</v>
      </c>
      <c r="B274" s="9" t="s">
        <v>617</v>
      </c>
      <c r="C274" s="32">
        <v>4324100920</v>
      </c>
      <c r="D274" s="1" t="s">
        <v>1450</v>
      </c>
      <c r="E274" s="36">
        <f>E12*60.48</f>
        <v>4475.5199999999995</v>
      </c>
      <c r="F274" s="36">
        <f t="shared" si="16"/>
        <v>4251.7439999999997</v>
      </c>
      <c r="G274" s="26">
        <f t="shared" si="17"/>
        <v>4027.9679999999994</v>
      </c>
      <c r="H274" s="26">
        <f t="shared" si="19"/>
        <v>3804.1919999999996</v>
      </c>
    </row>
    <row r="275" spans="1:8" x14ac:dyDescent="0.2">
      <c r="A275" s="31">
        <f t="shared" si="20"/>
        <v>261</v>
      </c>
      <c r="B275" s="9" t="s">
        <v>628</v>
      </c>
      <c r="C275" s="32">
        <v>81521026151</v>
      </c>
      <c r="D275" s="1" t="s">
        <v>1451</v>
      </c>
      <c r="E275" s="36">
        <f>E12*59.41</f>
        <v>4396.34</v>
      </c>
      <c r="F275" s="36">
        <f t="shared" si="16"/>
        <v>4176.5230000000001</v>
      </c>
      <c r="G275" s="26">
        <f t="shared" si="17"/>
        <v>3956.7060000000001</v>
      </c>
      <c r="H275" s="26">
        <f t="shared" si="19"/>
        <v>3736.8890000000001</v>
      </c>
    </row>
    <row r="276" spans="1:8" x14ac:dyDescent="0.2">
      <c r="A276" s="31">
        <f t="shared" si="20"/>
        <v>262</v>
      </c>
      <c r="B276" s="9" t="s">
        <v>827</v>
      </c>
      <c r="C276" s="32">
        <v>4324100870</v>
      </c>
      <c r="D276" s="1" t="s">
        <v>1452</v>
      </c>
      <c r="E276" s="36">
        <f>E12*87.5</f>
        <v>6475</v>
      </c>
      <c r="F276" s="36">
        <f t="shared" si="16"/>
        <v>6151.25</v>
      </c>
      <c r="G276" s="26">
        <f t="shared" si="17"/>
        <v>5827.5</v>
      </c>
      <c r="H276" s="26">
        <f t="shared" si="19"/>
        <v>5503.75</v>
      </c>
    </row>
    <row r="277" spans="1:8" x14ac:dyDescent="0.2">
      <c r="A277" s="31">
        <f t="shared" si="20"/>
        <v>263</v>
      </c>
      <c r="B277" s="9" t="s">
        <v>630</v>
      </c>
      <c r="C277" s="32">
        <v>4324100870</v>
      </c>
      <c r="D277" s="1" t="s">
        <v>1452</v>
      </c>
      <c r="E277" s="36">
        <f>E12*87.5</f>
        <v>6475</v>
      </c>
      <c r="F277" s="36">
        <f t="shared" si="16"/>
        <v>6151.25</v>
      </c>
      <c r="G277" s="26">
        <f t="shared" si="17"/>
        <v>5827.5</v>
      </c>
      <c r="H277" s="26">
        <f t="shared" si="19"/>
        <v>5503.75</v>
      </c>
    </row>
    <row r="278" spans="1:8" x14ac:dyDescent="0.2">
      <c r="A278" s="31">
        <f t="shared" si="20"/>
        <v>264</v>
      </c>
      <c r="B278" s="9" t="s">
        <v>635</v>
      </c>
      <c r="C278" s="32">
        <v>4324311000</v>
      </c>
      <c r="D278" s="1" t="s">
        <v>1453</v>
      </c>
      <c r="E278" s="36">
        <f>E12*275.86</f>
        <v>20413.64</v>
      </c>
      <c r="F278" s="36">
        <f t="shared" si="16"/>
        <v>19392.957999999999</v>
      </c>
      <c r="G278" s="26">
        <f t="shared" si="17"/>
        <v>18372.275999999998</v>
      </c>
      <c r="H278" s="26">
        <f t="shared" si="19"/>
        <v>17351.594000000001</v>
      </c>
    </row>
    <row r="279" spans="1:8" s="29" customFormat="1" x14ac:dyDescent="0.2">
      <c r="A279" s="31">
        <f t="shared" si="20"/>
        <v>265</v>
      </c>
      <c r="B279" s="32">
        <v>167500</v>
      </c>
      <c r="C279" s="32">
        <v>81436106028</v>
      </c>
      <c r="D279" s="30" t="s">
        <v>1454</v>
      </c>
      <c r="E279" s="36">
        <f>E12*21.67</f>
        <v>1603.5800000000002</v>
      </c>
      <c r="F279" s="36">
        <f t="shared" si="16"/>
        <v>1523.4010000000001</v>
      </c>
      <c r="G279" s="26">
        <f t="shared" si="17"/>
        <v>1443.2220000000002</v>
      </c>
      <c r="H279" s="26">
        <f t="shared" si="19"/>
        <v>1363.0430000000001</v>
      </c>
    </row>
    <row r="280" spans="1:8" s="29" customFormat="1" x14ac:dyDescent="0.2">
      <c r="A280" s="31">
        <f t="shared" si="20"/>
        <v>266</v>
      </c>
      <c r="B280" s="32">
        <v>167508</v>
      </c>
      <c r="C280" s="32">
        <v>81436106061</v>
      </c>
      <c r="D280" s="30" t="s">
        <v>1455</v>
      </c>
      <c r="E280" s="36">
        <f>E12*21.58</f>
        <v>1596.9199999999998</v>
      </c>
      <c r="F280" s="36">
        <f t="shared" si="16"/>
        <v>1517.0739999999998</v>
      </c>
      <c r="G280" s="26">
        <f t="shared" si="17"/>
        <v>1437.2279999999998</v>
      </c>
      <c r="H280" s="26">
        <f t="shared" si="19"/>
        <v>1357.3819999999998</v>
      </c>
    </row>
    <row r="281" spans="1:8" s="29" customFormat="1" x14ac:dyDescent="0.2">
      <c r="A281" s="31">
        <f t="shared" si="20"/>
        <v>267</v>
      </c>
      <c r="B281" s="32">
        <v>162900</v>
      </c>
      <c r="C281" s="32" t="s">
        <v>1457</v>
      </c>
      <c r="D281" s="30" t="s">
        <v>1456</v>
      </c>
      <c r="E281" s="36">
        <f>E12*21</f>
        <v>1554</v>
      </c>
      <c r="F281" s="36">
        <f t="shared" si="16"/>
        <v>1476.3</v>
      </c>
      <c r="G281" s="26">
        <f t="shared" si="17"/>
        <v>1398.6</v>
      </c>
      <c r="H281" s="26">
        <f t="shared" si="19"/>
        <v>1320.9</v>
      </c>
    </row>
    <row r="282" spans="1:8" s="29" customFormat="1" x14ac:dyDescent="0.2">
      <c r="A282" s="31">
        <f t="shared" si="20"/>
        <v>268</v>
      </c>
      <c r="B282" s="32">
        <v>162910</v>
      </c>
      <c r="C282" s="32" t="s">
        <v>1459</v>
      </c>
      <c r="D282" s="30" t="s">
        <v>1458</v>
      </c>
      <c r="E282" s="36">
        <f>E12*21</f>
        <v>1554</v>
      </c>
      <c r="F282" s="36">
        <f t="shared" si="16"/>
        <v>1476.3</v>
      </c>
      <c r="G282" s="26">
        <f t="shared" si="17"/>
        <v>1398.6</v>
      </c>
      <c r="H282" s="26">
        <f t="shared" si="19"/>
        <v>1320.9</v>
      </c>
    </row>
    <row r="283" spans="1:8" s="29" customFormat="1" x14ac:dyDescent="0.2">
      <c r="A283" s="31">
        <f t="shared" si="20"/>
        <v>269</v>
      </c>
      <c r="B283" s="32">
        <v>167506</v>
      </c>
      <c r="C283" s="32" t="s">
        <v>1505</v>
      </c>
      <c r="D283" s="30" t="s">
        <v>1504</v>
      </c>
      <c r="E283" s="36">
        <f>E12*26.67</f>
        <v>1973.5800000000002</v>
      </c>
      <c r="F283" s="36">
        <f t="shared" si="16"/>
        <v>1874.9010000000001</v>
      </c>
      <c r="G283" s="26">
        <f t="shared" si="17"/>
        <v>1776.2220000000002</v>
      </c>
      <c r="H283" s="26"/>
    </row>
    <row r="284" spans="1:8" s="29" customFormat="1" x14ac:dyDescent="0.2">
      <c r="A284" s="31">
        <f t="shared" si="20"/>
        <v>270</v>
      </c>
      <c r="B284" s="32">
        <v>167507</v>
      </c>
      <c r="C284" s="32" t="s">
        <v>1507</v>
      </c>
      <c r="D284" s="30" t="s">
        <v>1506</v>
      </c>
      <c r="E284" s="36">
        <f>E12*26.67</f>
        <v>1973.5800000000002</v>
      </c>
      <c r="F284" s="36">
        <f t="shared" si="16"/>
        <v>1874.9010000000001</v>
      </c>
      <c r="G284" s="26">
        <f t="shared" si="17"/>
        <v>1776.2220000000002</v>
      </c>
      <c r="H284" s="26"/>
    </row>
    <row r="285" spans="1:8" s="29" customFormat="1" x14ac:dyDescent="0.2">
      <c r="A285" s="31">
        <f t="shared" si="20"/>
        <v>271</v>
      </c>
      <c r="B285" s="32">
        <v>162300</v>
      </c>
      <c r="C285" s="32" t="s">
        <v>1514</v>
      </c>
      <c r="D285" s="30" t="s">
        <v>1513</v>
      </c>
      <c r="E285" s="36">
        <f>E12*50.4</f>
        <v>3729.6</v>
      </c>
      <c r="F285" s="36">
        <f t="shared" si="16"/>
        <v>3543.12</v>
      </c>
      <c r="G285" s="26">
        <f t="shared" si="17"/>
        <v>3356.64</v>
      </c>
      <c r="H285" s="26"/>
    </row>
    <row r="286" spans="1:8" x14ac:dyDescent="0.2">
      <c r="A286" s="31">
        <f t="shared" si="20"/>
        <v>272</v>
      </c>
      <c r="B286" s="9">
        <v>167514</v>
      </c>
      <c r="C286" s="32" t="s">
        <v>1461</v>
      </c>
      <c r="D286" s="1" t="s">
        <v>1460</v>
      </c>
      <c r="E286" s="36">
        <f>E12*41.86</f>
        <v>3097.64</v>
      </c>
      <c r="F286" s="36">
        <f t="shared" si="16"/>
        <v>2942.7579999999998</v>
      </c>
      <c r="G286" s="26">
        <f t="shared" si="17"/>
        <v>2787.8759999999997</v>
      </c>
      <c r="H286" s="26">
        <f t="shared" si="19"/>
        <v>2632.9939999999997</v>
      </c>
    </row>
    <row r="287" spans="1:8" x14ac:dyDescent="0.2">
      <c r="A287" s="31">
        <f t="shared" si="20"/>
        <v>273</v>
      </c>
      <c r="B287" s="9" t="s">
        <v>1062</v>
      </c>
      <c r="C287" s="32" t="s">
        <v>1463</v>
      </c>
      <c r="D287" s="1" t="s">
        <v>1462</v>
      </c>
      <c r="E287" s="36">
        <f>E12*24.85</f>
        <v>1838.9</v>
      </c>
      <c r="F287" s="36">
        <f t="shared" si="16"/>
        <v>1746.9550000000002</v>
      </c>
      <c r="G287" s="26">
        <f t="shared" si="17"/>
        <v>1655.01</v>
      </c>
      <c r="H287" s="26">
        <f t="shared" si="19"/>
        <v>1563.0650000000001</v>
      </c>
    </row>
    <row r="288" spans="1:8" x14ac:dyDescent="0.2">
      <c r="A288" s="31">
        <f t="shared" si="20"/>
        <v>274</v>
      </c>
      <c r="B288" s="9" t="s">
        <v>611</v>
      </c>
      <c r="C288" s="32">
        <v>81436106128</v>
      </c>
      <c r="D288" s="1" t="s">
        <v>1464</v>
      </c>
      <c r="E288" s="36">
        <f>E12*55.78</f>
        <v>4127.72</v>
      </c>
      <c r="F288" s="36">
        <f t="shared" si="16"/>
        <v>3921.3340000000003</v>
      </c>
      <c r="G288" s="26">
        <f t="shared" si="17"/>
        <v>3714.9480000000003</v>
      </c>
      <c r="H288" s="26">
        <f t="shared" si="19"/>
        <v>3508.5620000000004</v>
      </c>
    </row>
    <row r="289" spans="1:8" x14ac:dyDescent="0.2">
      <c r="A289" s="31">
        <f t="shared" si="20"/>
        <v>275</v>
      </c>
      <c r="B289" s="9">
        <v>167512</v>
      </c>
      <c r="C289" s="32">
        <v>4640023307</v>
      </c>
      <c r="D289" s="1" t="s">
        <v>1465</v>
      </c>
      <c r="E289" s="36">
        <f>E12*21.66</f>
        <v>1602.84</v>
      </c>
      <c r="F289" s="36">
        <f t="shared" ref="F289:F364" si="21">E289-E289*5%</f>
        <v>1522.6979999999999</v>
      </c>
      <c r="G289" s="26">
        <f t="shared" ref="G289:G364" si="22">E289-E289*10%</f>
        <v>1442.556</v>
      </c>
      <c r="H289" s="26">
        <f t="shared" ref="H289:H364" si="23">E289-E289*15%</f>
        <v>1362.414</v>
      </c>
    </row>
    <row r="290" spans="1:8" x14ac:dyDescent="0.2">
      <c r="A290" s="31">
        <f t="shared" si="20"/>
        <v>276</v>
      </c>
      <c r="B290" s="9" t="s">
        <v>486</v>
      </c>
      <c r="C290" s="32">
        <v>8285011000</v>
      </c>
      <c r="D290" s="1" t="s">
        <v>1466</v>
      </c>
      <c r="E290" s="36">
        <f>E12*36.43</f>
        <v>2695.82</v>
      </c>
      <c r="F290" s="36">
        <f t="shared" si="21"/>
        <v>2561.029</v>
      </c>
      <c r="G290" s="26">
        <f t="shared" si="22"/>
        <v>2426.2380000000003</v>
      </c>
      <c r="H290" s="26">
        <f t="shared" si="23"/>
        <v>2291.4470000000001</v>
      </c>
    </row>
    <row r="291" spans="1:8" x14ac:dyDescent="0.2">
      <c r="A291" s="31">
        <f t="shared" si="20"/>
        <v>277</v>
      </c>
      <c r="B291" s="9">
        <v>167509</v>
      </c>
      <c r="C291" s="32">
        <v>8285086000</v>
      </c>
      <c r="D291" s="1" t="s">
        <v>1467</v>
      </c>
      <c r="E291" s="36">
        <f>E12*22.66</f>
        <v>1676.84</v>
      </c>
      <c r="F291" s="36">
        <f t="shared" si="21"/>
        <v>1592.9979999999998</v>
      </c>
      <c r="G291" s="26">
        <f t="shared" si="22"/>
        <v>1509.1559999999999</v>
      </c>
      <c r="H291" s="26">
        <f t="shared" si="23"/>
        <v>1425.3139999999999</v>
      </c>
    </row>
    <row r="292" spans="1:8" x14ac:dyDescent="0.2">
      <c r="A292" s="31">
        <f t="shared" si="20"/>
        <v>278</v>
      </c>
      <c r="B292" s="9" t="s">
        <v>571</v>
      </c>
      <c r="C292" s="32">
        <v>81436109092</v>
      </c>
      <c r="D292" s="1" t="s">
        <v>1468</v>
      </c>
      <c r="E292" s="36">
        <f>E12*98.58</f>
        <v>7294.92</v>
      </c>
      <c r="F292" s="36">
        <f t="shared" si="21"/>
        <v>6930.174</v>
      </c>
      <c r="G292" s="26">
        <f t="shared" si="22"/>
        <v>6565.4279999999999</v>
      </c>
      <c r="H292" s="26">
        <f t="shared" si="23"/>
        <v>6200.6819999999998</v>
      </c>
    </row>
    <row r="293" spans="1:8" s="29" customFormat="1" x14ac:dyDescent="0.2">
      <c r="A293" s="31">
        <f t="shared" si="20"/>
        <v>279</v>
      </c>
      <c r="B293" s="32">
        <v>167505</v>
      </c>
      <c r="C293" s="32" t="s">
        <v>1256</v>
      </c>
      <c r="D293" s="30" t="s">
        <v>1503</v>
      </c>
      <c r="E293" s="36">
        <f>E12*22.62</f>
        <v>1673.88</v>
      </c>
      <c r="F293" s="36">
        <f t="shared" si="21"/>
        <v>1590.1860000000001</v>
      </c>
      <c r="G293" s="26">
        <f t="shared" si="22"/>
        <v>1506.4920000000002</v>
      </c>
      <c r="H293" s="26"/>
    </row>
    <row r="294" spans="1:8" x14ac:dyDescent="0.2">
      <c r="A294" s="31">
        <f t="shared" si="20"/>
        <v>280</v>
      </c>
      <c r="B294" s="9" t="s">
        <v>491</v>
      </c>
      <c r="C294" s="32">
        <v>81436106101</v>
      </c>
      <c r="D294" s="1" t="s">
        <v>1469</v>
      </c>
      <c r="E294" s="36">
        <f>E12*43.78</f>
        <v>3239.7200000000003</v>
      </c>
      <c r="F294" s="36">
        <f t="shared" si="21"/>
        <v>3077.7340000000004</v>
      </c>
      <c r="G294" s="26">
        <f t="shared" si="22"/>
        <v>2915.748</v>
      </c>
      <c r="H294" s="26">
        <f t="shared" si="23"/>
        <v>2753.7620000000002</v>
      </c>
    </row>
    <row r="295" spans="1:8" x14ac:dyDescent="0.2">
      <c r="A295" s="31">
        <f t="shared" si="20"/>
        <v>281</v>
      </c>
      <c r="B295" s="9" t="s">
        <v>629</v>
      </c>
      <c r="C295" s="32">
        <v>81436106054</v>
      </c>
      <c r="D295" s="1" t="s">
        <v>1470</v>
      </c>
      <c r="E295" s="36">
        <f>E12*42.71</f>
        <v>3160.54</v>
      </c>
      <c r="F295" s="36">
        <f t="shared" si="21"/>
        <v>3002.5129999999999</v>
      </c>
      <c r="G295" s="26">
        <f t="shared" si="22"/>
        <v>2844.4859999999999</v>
      </c>
      <c r="H295" s="26">
        <f t="shared" si="23"/>
        <v>2686.4589999999998</v>
      </c>
    </row>
    <row r="296" spans="1:8" x14ac:dyDescent="0.2">
      <c r="A296" s="31">
        <f t="shared" si="20"/>
        <v>282</v>
      </c>
      <c r="B296" s="9">
        <v>167513</v>
      </c>
      <c r="C296" s="32">
        <v>4640060020</v>
      </c>
      <c r="D296" s="1" t="s">
        <v>1471</v>
      </c>
      <c r="E296" s="36">
        <f>E12*26.5</f>
        <v>1961</v>
      </c>
      <c r="F296" s="36">
        <f t="shared" si="21"/>
        <v>1862.95</v>
      </c>
      <c r="G296" s="26">
        <f t="shared" si="22"/>
        <v>1764.9</v>
      </c>
      <c r="H296" s="26">
        <f t="shared" si="23"/>
        <v>1666.85</v>
      </c>
    </row>
    <row r="297" spans="1:8" x14ac:dyDescent="0.2">
      <c r="A297" s="31">
        <f t="shared" si="20"/>
        <v>283</v>
      </c>
      <c r="B297" s="9" t="s">
        <v>604</v>
      </c>
      <c r="C297" s="32">
        <v>81436106100</v>
      </c>
      <c r="D297" s="1" t="s">
        <v>1472</v>
      </c>
      <c r="E297" s="36">
        <f>E12*32.46</f>
        <v>2402.04</v>
      </c>
      <c r="F297" s="36">
        <f t="shared" si="21"/>
        <v>2281.9380000000001</v>
      </c>
      <c r="G297" s="26">
        <f t="shared" si="22"/>
        <v>2161.8359999999998</v>
      </c>
      <c r="H297" s="26">
        <f t="shared" si="23"/>
        <v>2041.7339999999999</v>
      </c>
    </row>
    <row r="298" spans="1:8" s="29" customFormat="1" x14ac:dyDescent="0.2">
      <c r="A298" s="31">
        <f t="shared" si="20"/>
        <v>284</v>
      </c>
      <c r="B298" s="32">
        <v>168500</v>
      </c>
      <c r="C298" s="32">
        <v>4640060000</v>
      </c>
      <c r="D298" s="30" t="s">
        <v>1509</v>
      </c>
      <c r="E298" s="36">
        <f>E12*38</f>
        <v>2812</v>
      </c>
      <c r="F298" s="36">
        <f t="shared" si="21"/>
        <v>2671.4</v>
      </c>
      <c r="G298" s="26">
        <f t="shared" si="22"/>
        <v>2530.8000000000002</v>
      </c>
      <c r="H298" s="26"/>
    </row>
    <row r="299" spans="1:8" x14ac:dyDescent="0.2">
      <c r="A299" s="31">
        <f t="shared" si="20"/>
        <v>285</v>
      </c>
      <c r="B299" s="9">
        <v>168501</v>
      </c>
      <c r="C299" s="32">
        <v>4640060010</v>
      </c>
      <c r="D299" s="1" t="s">
        <v>1473</v>
      </c>
      <c r="E299" s="36">
        <f>E12*29.81</f>
        <v>2205.94</v>
      </c>
      <c r="F299" s="36">
        <f t="shared" si="21"/>
        <v>2095.643</v>
      </c>
      <c r="G299" s="26">
        <f t="shared" si="22"/>
        <v>1985.346</v>
      </c>
      <c r="H299" s="26">
        <f t="shared" si="23"/>
        <v>1875.049</v>
      </c>
    </row>
    <row r="300" spans="1:8" s="29" customFormat="1" x14ac:dyDescent="0.2">
      <c r="A300" s="31">
        <f t="shared" si="20"/>
        <v>286</v>
      </c>
      <c r="B300" s="32">
        <v>168502</v>
      </c>
      <c r="C300" s="32">
        <v>4640060020</v>
      </c>
      <c r="D300" s="30" t="s">
        <v>1510</v>
      </c>
      <c r="E300" s="36">
        <f>E12*39.12</f>
        <v>2894.8799999999997</v>
      </c>
      <c r="F300" s="36">
        <f t="shared" si="21"/>
        <v>2750.1359999999995</v>
      </c>
      <c r="G300" s="26">
        <f t="shared" si="22"/>
        <v>2605.3919999999998</v>
      </c>
      <c r="H300" s="26"/>
    </row>
    <row r="301" spans="1:8" s="29" customFormat="1" x14ac:dyDescent="0.2">
      <c r="A301" s="31">
        <f t="shared" si="20"/>
        <v>287</v>
      </c>
      <c r="B301" s="32">
        <v>168503</v>
      </c>
      <c r="C301" s="32">
        <v>4640061000</v>
      </c>
      <c r="D301" s="30" t="s">
        <v>1511</v>
      </c>
      <c r="E301" s="36">
        <f>E12*44.45</f>
        <v>3289.3</v>
      </c>
      <c r="F301" s="36">
        <f t="shared" si="21"/>
        <v>3124.835</v>
      </c>
      <c r="G301" s="26">
        <f t="shared" si="22"/>
        <v>2960.37</v>
      </c>
      <c r="H301" s="26"/>
    </row>
    <row r="302" spans="1:8" x14ac:dyDescent="0.2">
      <c r="A302" s="31">
        <f t="shared" si="20"/>
        <v>288</v>
      </c>
      <c r="B302" s="9" t="s">
        <v>641</v>
      </c>
      <c r="C302" s="32">
        <v>4640070010</v>
      </c>
      <c r="D302" s="1" t="s">
        <v>1474</v>
      </c>
      <c r="E302" s="36">
        <f>E12*37.83</f>
        <v>2799.42</v>
      </c>
      <c r="F302" s="36">
        <f t="shared" si="21"/>
        <v>2659.4490000000001</v>
      </c>
      <c r="G302" s="26">
        <f t="shared" si="22"/>
        <v>2519.4780000000001</v>
      </c>
      <c r="H302" s="26">
        <f t="shared" si="23"/>
        <v>2379.5070000000001</v>
      </c>
    </row>
    <row r="303" spans="1:8" x14ac:dyDescent="0.2">
      <c r="A303" s="31">
        <f t="shared" si="20"/>
        <v>289</v>
      </c>
      <c r="B303" s="9" t="s">
        <v>472</v>
      </c>
      <c r="C303" s="32">
        <v>4640070020</v>
      </c>
      <c r="D303" s="1" t="s">
        <v>1475</v>
      </c>
      <c r="E303" s="36">
        <f>E12*59.23</f>
        <v>4383.0199999999995</v>
      </c>
      <c r="F303" s="36">
        <f t="shared" si="21"/>
        <v>4163.8689999999997</v>
      </c>
      <c r="G303" s="26">
        <f t="shared" si="22"/>
        <v>3944.7179999999994</v>
      </c>
      <c r="H303" s="26">
        <f t="shared" si="23"/>
        <v>3725.5669999999996</v>
      </c>
    </row>
    <row r="304" spans="1:8" x14ac:dyDescent="0.2">
      <c r="A304" s="31">
        <f t="shared" si="20"/>
        <v>290</v>
      </c>
      <c r="B304" s="9">
        <v>4410500120</v>
      </c>
      <c r="C304" s="32">
        <v>4410500120</v>
      </c>
      <c r="D304" s="1" t="s">
        <v>1476</v>
      </c>
      <c r="E304" s="36">
        <f>E12*58.8</f>
        <v>4351.2</v>
      </c>
      <c r="F304" s="36">
        <f t="shared" si="21"/>
        <v>4133.6399999999994</v>
      </c>
      <c r="G304" s="26">
        <f t="shared" si="22"/>
        <v>3916.08</v>
      </c>
      <c r="H304" s="26">
        <f t="shared" si="23"/>
        <v>3698.52</v>
      </c>
    </row>
    <row r="305" spans="1:8" x14ac:dyDescent="0.2">
      <c r="A305" s="31">
        <f t="shared" si="20"/>
        <v>291</v>
      </c>
      <c r="B305" s="9">
        <v>4410500130</v>
      </c>
      <c r="C305" s="32">
        <v>4410500130</v>
      </c>
      <c r="D305" s="1" t="s">
        <v>1477</v>
      </c>
      <c r="E305" s="36">
        <f>E12*45.78</f>
        <v>3387.7200000000003</v>
      </c>
      <c r="F305" s="36">
        <f t="shared" si="21"/>
        <v>3218.3340000000003</v>
      </c>
      <c r="G305" s="26">
        <f t="shared" si="22"/>
        <v>3048.9480000000003</v>
      </c>
      <c r="H305" s="26">
        <f t="shared" si="23"/>
        <v>2879.5620000000004</v>
      </c>
    </row>
    <row r="306" spans="1:8" x14ac:dyDescent="0.2">
      <c r="A306" s="31">
        <f t="shared" si="20"/>
        <v>292</v>
      </c>
      <c r="B306" s="9">
        <v>4410501000</v>
      </c>
      <c r="C306" s="32">
        <v>4410501000</v>
      </c>
      <c r="D306" s="1" t="s">
        <v>1478</v>
      </c>
      <c r="E306" s="36">
        <f>E12*35.46</f>
        <v>2624.04</v>
      </c>
      <c r="F306" s="36">
        <f t="shared" si="21"/>
        <v>2492.8379999999997</v>
      </c>
      <c r="G306" s="26">
        <f t="shared" si="22"/>
        <v>2361.636</v>
      </c>
      <c r="H306" s="26">
        <f t="shared" si="23"/>
        <v>2230.4340000000002</v>
      </c>
    </row>
    <row r="307" spans="1:8" x14ac:dyDescent="0.2">
      <c r="A307" s="31">
        <f t="shared" si="20"/>
        <v>293</v>
      </c>
      <c r="B307" s="9">
        <v>4410500110</v>
      </c>
      <c r="C307" s="32">
        <v>4410500110</v>
      </c>
      <c r="D307" s="1" t="s">
        <v>1479</v>
      </c>
      <c r="E307" s="36">
        <f>E12*58.31</f>
        <v>4314.9400000000005</v>
      </c>
      <c r="F307" s="36">
        <f t="shared" si="21"/>
        <v>4099.1930000000002</v>
      </c>
      <c r="G307" s="26">
        <f t="shared" si="22"/>
        <v>3883.4460000000004</v>
      </c>
      <c r="H307" s="26">
        <f t="shared" si="23"/>
        <v>3667.6990000000005</v>
      </c>
    </row>
    <row r="308" spans="1:8" x14ac:dyDescent="0.2">
      <c r="A308" s="31">
        <f t="shared" si="20"/>
        <v>294</v>
      </c>
      <c r="B308" s="9" t="s">
        <v>652</v>
      </c>
      <c r="C308" s="32">
        <v>1380814</v>
      </c>
      <c r="D308" s="1" t="s">
        <v>1480</v>
      </c>
      <c r="E308" s="36">
        <f>E12*49.7</f>
        <v>3677.8</v>
      </c>
      <c r="F308" s="36">
        <f t="shared" si="21"/>
        <v>3493.9100000000003</v>
      </c>
      <c r="G308" s="26">
        <f t="shared" si="22"/>
        <v>3310.02</v>
      </c>
      <c r="H308" s="26">
        <f t="shared" si="23"/>
        <v>3126.13</v>
      </c>
    </row>
    <row r="309" spans="1:8" x14ac:dyDescent="0.2">
      <c r="A309" s="31">
        <f t="shared" si="20"/>
        <v>295</v>
      </c>
      <c r="B309" s="9" t="s">
        <v>583</v>
      </c>
      <c r="C309" s="32">
        <v>1118884</v>
      </c>
      <c r="D309" s="1" t="s">
        <v>1481</v>
      </c>
      <c r="E309" s="36">
        <f>E12*48.06</f>
        <v>3556.44</v>
      </c>
      <c r="F309" s="36">
        <f t="shared" si="21"/>
        <v>3378.6179999999999</v>
      </c>
      <c r="G309" s="26">
        <f t="shared" si="22"/>
        <v>3200.7960000000003</v>
      </c>
      <c r="H309" s="26">
        <f t="shared" si="23"/>
        <v>3022.9740000000002</v>
      </c>
    </row>
    <row r="310" spans="1:8" x14ac:dyDescent="0.2">
      <c r="A310" s="31">
        <f t="shared" si="20"/>
        <v>296</v>
      </c>
      <c r="B310" s="9">
        <v>249300</v>
      </c>
      <c r="C310" s="32">
        <v>9617222520</v>
      </c>
      <c r="D310" s="1" t="s">
        <v>1482</v>
      </c>
      <c r="E310" s="36">
        <f>E12*49</f>
        <v>3626</v>
      </c>
      <c r="F310" s="36">
        <f t="shared" si="21"/>
        <v>3444.7</v>
      </c>
      <c r="G310" s="26">
        <f t="shared" si="22"/>
        <v>3263.4</v>
      </c>
      <c r="H310" s="26">
        <f t="shared" si="23"/>
        <v>3082.1</v>
      </c>
    </row>
    <row r="311" spans="1:8" s="29" customFormat="1" x14ac:dyDescent="0.2">
      <c r="A311" s="31">
        <f t="shared" si="20"/>
        <v>297</v>
      </c>
      <c r="B311" s="32">
        <v>249301</v>
      </c>
      <c r="C311" s="32" t="s">
        <v>1485</v>
      </c>
      <c r="D311" s="30" t="s">
        <v>1484</v>
      </c>
      <c r="E311" s="36">
        <f>E12*39</f>
        <v>2886</v>
      </c>
      <c r="F311" s="36">
        <f t="shared" si="21"/>
        <v>2741.7</v>
      </c>
      <c r="G311" s="26">
        <f t="shared" si="22"/>
        <v>2597.4</v>
      </c>
      <c r="H311" s="26">
        <f t="shared" si="23"/>
        <v>2453.1</v>
      </c>
    </row>
    <row r="312" spans="1:8" s="29" customFormat="1" x14ac:dyDescent="0.2">
      <c r="A312" s="31">
        <f t="shared" si="20"/>
        <v>298</v>
      </c>
      <c r="B312" s="32">
        <v>249303</v>
      </c>
      <c r="C312" s="32">
        <v>9617222690</v>
      </c>
      <c r="D312" s="30" t="s">
        <v>1486</v>
      </c>
      <c r="E312" s="36">
        <f>E12*39</f>
        <v>2886</v>
      </c>
      <c r="F312" s="36">
        <f t="shared" si="21"/>
        <v>2741.7</v>
      </c>
      <c r="G312" s="26">
        <f t="shared" si="22"/>
        <v>2597.4</v>
      </c>
      <c r="H312" s="26">
        <f t="shared" si="23"/>
        <v>2453.1</v>
      </c>
    </row>
    <row r="313" spans="1:8" s="29" customFormat="1" x14ac:dyDescent="0.2">
      <c r="A313" s="31">
        <f t="shared" si="20"/>
        <v>299</v>
      </c>
      <c r="B313" s="32">
        <v>249302</v>
      </c>
      <c r="C313" s="32" t="s">
        <v>1488</v>
      </c>
      <c r="D313" s="30" t="s">
        <v>1487</v>
      </c>
      <c r="E313" s="36">
        <f>E12*39</f>
        <v>2886</v>
      </c>
      <c r="F313" s="36">
        <f t="shared" si="21"/>
        <v>2741.7</v>
      </c>
      <c r="G313" s="26">
        <f t="shared" si="22"/>
        <v>2597.4</v>
      </c>
      <c r="H313" s="26">
        <f t="shared" si="23"/>
        <v>2453.1</v>
      </c>
    </row>
    <row r="314" spans="1:8" s="29" customFormat="1" x14ac:dyDescent="0.2">
      <c r="A314" s="31">
        <f t="shared" si="20"/>
        <v>300</v>
      </c>
      <c r="B314" s="32">
        <v>249318</v>
      </c>
      <c r="C314" s="32">
        <v>81523156122</v>
      </c>
      <c r="D314" s="30" t="s">
        <v>1489</v>
      </c>
      <c r="E314" s="36">
        <f>E12*49</f>
        <v>3626</v>
      </c>
      <c r="F314" s="36">
        <f t="shared" si="21"/>
        <v>3444.7</v>
      </c>
      <c r="G314" s="26">
        <f t="shared" si="22"/>
        <v>3263.4</v>
      </c>
      <c r="H314" s="26">
        <f t="shared" si="23"/>
        <v>3082.1</v>
      </c>
    </row>
    <row r="315" spans="1:8" s="29" customFormat="1" x14ac:dyDescent="0.2">
      <c r="A315" s="31">
        <f t="shared" si="20"/>
        <v>301</v>
      </c>
      <c r="B315" s="32">
        <v>255300</v>
      </c>
      <c r="C315" s="32">
        <v>9617230010</v>
      </c>
      <c r="D315" s="30" t="s">
        <v>1499</v>
      </c>
      <c r="E315" s="36">
        <f>E12*37.34</f>
        <v>2763.1600000000003</v>
      </c>
      <c r="F315" s="36">
        <f t="shared" si="21"/>
        <v>2625.0020000000004</v>
      </c>
      <c r="G315" s="26">
        <f t="shared" si="22"/>
        <v>2486.8440000000001</v>
      </c>
      <c r="H315" s="26">
        <f t="shared" si="23"/>
        <v>2348.6860000000001</v>
      </c>
    </row>
    <row r="316" spans="1:8" s="29" customFormat="1" x14ac:dyDescent="0.2">
      <c r="A316" s="31">
        <f t="shared" si="20"/>
        <v>302</v>
      </c>
      <c r="B316" s="32">
        <v>255304</v>
      </c>
      <c r="C316" s="32">
        <v>9617231020</v>
      </c>
      <c r="D316" s="30" t="s">
        <v>1500</v>
      </c>
      <c r="E316" s="36">
        <f>E12*28.38</f>
        <v>2100.12</v>
      </c>
      <c r="F316" s="36">
        <f t="shared" si="21"/>
        <v>1995.1139999999998</v>
      </c>
      <c r="G316" s="26">
        <f t="shared" si="22"/>
        <v>1890.1079999999999</v>
      </c>
      <c r="H316" s="26">
        <f t="shared" si="23"/>
        <v>1785.1019999999999</v>
      </c>
    </row>
    <row r="317" spans="1:8" x14ac:dyDescent="0.2">
      <c r="A317" s="31">
        <f t="shared" si="20"/>
        <v>303</v>
      </c>
      <c r="B317" s="9">
        <v>205100</v>
      </c>
      <c r="C317" s="32">
        <v>4613150080</v>
      </c>
      <c r="D317" s="1" t="s">
        <v>1483</v>
      </c>
      <c r="E317" s="36">
        <f>E12*32.8</f>
        <v>2427.1999999999998</v>
      </c>
      <c r="F317" s="36">
        <f t="shared" si="21"/>
        <v>2305.8399999999997</v>
      </c>
      <c r="G317" s="26">
        <f t="shared" si="22"/>
        <v>2184.48</v>
      </c>
      <c r="H317" s="26">
        <f t="shared" si="23"/>
        <v>2063.12</v>
      </c>
    </row>
    <row r="318" spans="1:8" s="29" customFormat="1" x14ac:dyDescent="0.2">
      <c r="A318" s="31">
        <f t="shared" si="20"/>
        <v>304</v>
      </c>
      <c r="B318" s="32">
        <v>205101</v>
      </c>
      <c r="C318" s="32" t="s">
        <v>1492</v>
      </c>
      <c r="D318" s="30" t="s">
        <v>1491</v>
      </c>
      <c r="E318" s="36">
        <f>E12*53.25</f>
        <v>3940.5</v>
      </c>
      <c r="F318" s="36">
        <f t="shared" si="21"/>
        <v>3743.4749999999999</v>
      </c>
      <c r="G318" s="26">
        <f t="shared" si="22"/>
        <v>3546.45</v>
      </c>
      <c r="H318" s="26">
        <f t="shared" si="23"/>
        <v>3349.4250000000002</v>
      </c>
    </row>
    <row r="319" spans="1:8" s="29" customFormat="1" x14ac:dyDescent="0.2">
      <c r="A319" s="31">
        <f t="shared" si="20"/>
        <v>305</v>
      </c>
      <c r="B319" s="32">
        <v>205104</v>
      </c>
      <c r="C319" s="32" t="s">
        <v>1494</v>
      </c>
      <c r="D319" s="30" t="s">
        <v>1493</v>
      </c>
      <c r="E319" s="36">
        <f>E12*42.67</f>
        <v>3157.58</v>
      </c>
      <c r="F319" s="36">
        <f t="shared" si="21"/>
        <v>2999.701</v>
      </c>
      <c r="G319" s="26">
        <f t="shared" si="22"/>
        <v>2841.8220000000001</v>
      </c>
      <c r="H319" s="26">
        <f t="shared" si="23"/>
        <v>2683.9430000000002</v>
      </c>
    </row>
    <row r="320" spans="1:8" s="29" customFormat="1" x14ac:dyDescent="0.2">
      <c r="A320" s="31">
        <f t="shared" si="20"/>
        <v>306</v>
      </c>
      <c r="B320" s="32">
        <v>205108</v>
      </c>
      <c r="C320" s="32" t="s">
        <v>1496</v>
      </c>
      <c r="D320" s="30" t="s">
        <v>1495</v>
      </c>
      <c r="E320" s="36">
        <f>E12*53.25</f>
        <v>3940.5</v>
      </c>
      <c r="F320" s="36">
        <f t="shared" si="21"/>
        <v>3743.4749999999999</v>
      </c>
      <c r="G320" s="26">
        <f t="shared" si="22"/>
        <v>3546.45</v>
      </c>
      <c r="H320" s="26">
        <f t="shared" si="23"/>
        <v>3349.4250000000002</v>
      </c>
    </row>
    <row r="321" spans="1:8" s="29" customFormat="1" x14ac:dyDescent="0.2">
      <c r="A321" s="31">
        <f t="shared" si="20"/>
        <v>307</v>
      </c>
      <c r="B321" s="32">
        <v>205111</v>
      </c>
      <c r="C321" s="32">
        <v>4613154820</v>
      </c>
      <c r="D321" s="30" t="s">
        <v>1497</v>
      </c>
      <c r="E321" s="36">
        <f>E12*42.67</f>
        <v>3157.58</v>
      </c>
      <c r="F321" s="36">
        <f t="shared" si="21"/>
        <v>2999.701</v>
      </c>
      <c r="G321" s="26">
        <f t="shared" si="22"/>
        <v>2841.8220000000001</v>
      </c>
      <c r="H321" s="26">
        <f t="shared" si="23"/>
        <v>2683.9430000000002</v>
      </c>
    </row>
    <row r="322" spans="1:8" s="29" customFormat="1" x14ac:dyDescent="0.2">
      <c r="A322" s="31">
        <f t="shared" si="20"/>
        <v>308</v>
      </c>
      <c r="B322" s="32">
        <v>205113</v>
      </c>
      <c r="C322" s="32">
        <v>4613150360</v>
      </c>
      <c r="D322" s="30" t="s">
        <v>1498</v>
      </c>
      <c r="E322" s="36">
        <f>E12*53.25</f>
        <v>3940.5</v>
      </c>
      <c r="F322" s="36">
        <f>E322-E322*5%</f>
        <v>3743.4749999999999</v>
      </c>
      <c r="G322" s="26">
        <f t="shared" si="22"/>
        <v>3546.45</v>
      </c>
      <c r="H322" s="26">
        <f t="shared" si="23"/>
        <v>3349.4250000000002</v>
      </c>
    </row>
    <row r="323" spans="1:8" s="29" customFormat="1" x14ac:dyDescent="0.2">
      <c r="A323" s="31">
        <f t="shared" si="20"/>
        <v>309</v>
      </c>
      <c r="B323" s="32">
        <v>685069</v>
      </c>
      <c r="C323" s="32">
        <v>4613074790</v>
      </c>
      <c r="D323" s="30" t="s">
        <v>1611</v>
      </c>
      <c r="E323" s="36">
        <f>E12*83</f>
        <v>6142</v>
      </c>
      <c r="F323" s="36">
        <f>E323-E323*5%</f>
        <v>5834.9</v>
      </c>
      <c r="G323" s="26">
        <f t="shared" si="22"/>
        <v>5527.8</v>
      </c>
      <c r="H323" s="26">
        <f t="shared" si="23"/>
        <v>5220.7</v>
      </c>
    </row>
    <row r="324" spans="1:8" x14ac:dyDescent="0.2">
      <c r="A324" s="31">
        <f t="shared" si="20"/>
        <v>310</v>
      </c>
      <c r="B324" s="9" t="s">
        <v>483</v>
      </c>
      <c r="C324" s="32"/>
      <c r="D324" s="1" t="s">
        <v>482</v>
      </c>
      <c r="E324" s="36">
        <f>E12*97.8</f>
        <v>7237.2</v>
      </c>
      <c r="F324" s="36">
        <f t="shared" si="21"/>
        <v>6875.34</v>
      </c>
      <c r="G324" s="26">
        <f t="shared" si="22"/>
        <v>6513.48</v>
      </c>
      <c r="H324" s="26">
        <f t="shared" si="23"/>
        <v>6151.62</v>
      </c>
    </row>
    <row r="325" spans="1:8" s="29" customFormat="1" x14ac:dyDescent="0.2">
      <c r="A325" s="31">
        <f t="shared" si="20"/>
        <v>311</v>
      </c>
      <c r="B325" s="32">
        <v>157403</v>
      </c>
      <c r="C325" s="32">
        <v>4757145000</v>
      </c>
      <c r="D325" s="30" t="s">
        <v>1512</v>
      </c>
      <c r="E325" s="36">
        <f>E12*33</f>
        <v>2442</v>
      </c>
      <c r="F325" s="36">
        <f t="shared" si="21"/>
        <v>2319.9</v>
      </c>
      <c r="G325" s="26">
        <f t="shared" si="22"/>
        <v>2197.8000000000002</v>
      </c>
      <c r="H325" s="26">
        <f t="shared" si="23"/>
        <v>2075.6999999999998</v>
      </c>
    </row>
    <row r="326" spans="1:8" s="29" customFormat="1" x14ac:dyDescent="0.2">
      <c r="A326" s="31">
        <f t="shared" si="20"/>
        <v>312</v>
      </c>
      <c r="B326" s="32">
        <v>170503</v>
      </c>
      <c r="C326" s="32">
        <v>4640070100</v>
      </c>
      <c r="D326" s="30" t="s">
        <v>1515</v>
      </c>
      <c r="E326" s="36">
        <f>E12*33</f>
        <v>2442</v>
      </c>
      <c r="F326" s="36">
        <f t="shared" si="21"/>
        <v>2319.9</v>
      </c>
      <c r="G326" s="26">
        <f t="shared" si="22"/>
        <v>2197.8000000000002</v>
      </c>
      <c r="H326" s="26">
        <f t="shared" si="23"/>
        <v>2075.6999999999998</v>
      </c>
    </row>
    <row r="327" spans="1:8" x14ac:dyDescent="0.2">
      <c r="A327" s="31">
        <f t="shared" si="20"/>
        <v>313</v>
      </c>
      <c r="B327" s="9" t="s">
        <v>651</v>
      </c>
      <c r="C327" s="32" t="s">
        <v>1638</v>
      </c>
      <c r="D327" s="1" t="s">
        <v>1637</v>
      </c>
      <c r="E327" s="36">
        <f>E12*86.45</f>
        <v>6397.3</v>
      </c>
      <c r="F327" s="36">
        <f t="shared" si="21"/>
        <v>6077.4350000000004</v>
      </c>
      <c r="G327" s="26">
        <f t="shared" si="22"/>
        <v>5757.57</v>
      </c>
      <c r="H327" s="26">
        <f t="shared" si="23"/>
        <v>5437.7049999999999</v>
      </c>
    </row>
    <row r="328" spans="1:8" x14ac:dyDescent="0.2">
      <c r="A328" s="31">
        <f t="shared" si="20"/>
        <v>314</v>
      </c>
      <c r="B328" s="9" t="s">
        <v>889</v>
      </c>
      <c r="C328" s="32" t="s">
        <v>1640</v>
      </c>
      <c r="D328" s="1" t="s">
        <v>1639</v>
      </c>
      <c r="E328" s="36">
        <f>E12*86.45</f>
        <v>6397.3</v>
      </c>
      <c r="F328" s="36">
        <f t="shared" si="21"/>
        <v>6077.4350000000004</v>
      </c>
      <c r="G328" s="26">
        <f t="shared" si="22"/>
        <v>5757.57</v>
      </c>
      <c r="H328" s="26">
        <f t="shared" si="23"/>
        <v>5437.7049999999999</v>
      </c>
    </row>
    <row r="329" spans="1:8" x14ac:dyDescent="0.2">
      <c r="A329" s="31">
        <f t="shared" si="20"/>
        <v>315</v>
      </c>
      <c r="B329" s="9" t="s">
        <v>564</v>
      </c>
      <c r="C329" s="32" t="s">
        <v>1642</v>
      </c>
      <c r="D329" s="1" t="s">
        <v>1641</v>
      </c>
      <c r="E329" s="36">
        <f>E12*80.71</f>
        <v>5972.54</v>
      </c>
      <c r="F329" s="36">
        <f t="shared" si="21"/>
        <v>5673.9129999999996</v>
      </c>
      <c r="G329" s="26">
        <f t="shared" si="22"/>
        <v>5375.2860000000001</v>
      </c>
      <c r="H329" s="26">
        <f t="shared" si="23"/>
        <v>5076.6589999999997</v>
      </c>
    </row>
    <row r="330" spans="1:8" x14ac:dyDescent="0.2">
      <c r="A330" s="31">
        <f t="shared" si="20"/>
        <v>316</v>
      </c>
      <c r="B330" s="9" t="s">
        <v>815</v>
      </c>
      <c r="C330" s="32">
        <v>4410500030</v>
      </c>
      <c r="D330" s="1" t="s">
        <v>1643</v>
      </c>
      <c r="E330" s="36">
        <f>E12*92.98</f>
        <v>6880.52</v>
      </c>
      <c r="F330" s="36">
        <f t="shared" si="21"/>
        <v>6536.4940000000006</v>
      </c>
      <c r="G330" s="26">
        <f t="shared" si="22"/>
        <v>6192.4680000000008</v>
      </c>
      <c r="H330" s="26">
        <f t="shared" si="23"/>
        <v>5848.4420000000009</v>
      </c>
    </row>
    <row r="331" spans="1:8" x14ac:dyDescent="0.2">
      <c r="A331" s="31">
        <f t="shared" si="20"/>
        <v>317</v>
      </c>
      <c r="B331" s="9" t="s">
        <v>1191</v>
      </c>
      <c r="C331" s="32"/>
      <c r="D331" s="1" t="s">
        <v>311</v>
      </c>
      <c r="E331" s="36">
        <f>E12*4.72</f>
        <v>349.28</v>
      </c>
      <c r="F331" s="36">
        <f t="shared" si="21"/>
        <v>331.81599999999997</v>
      </c>
      <c r="G331" s="26">
        <f t="shared" si="22"/>
        <v>314.35199999999998</v>
      </c>
      <c r="H331" s="26">
        <f t="shared" si="23"/>
        <v>296.88799999999998</v>
      </c>
    </row>
    <row r="332" spans="1:8" x14ac:dyDescent="0.2">
      <c r="A332" s="31">
        <f t="shared" si="20"/>
        <v>318</v>
      </c>
      <c r="B332" s="9" t="s">
        <v>335</v>
      </c>
      <c r="C332" s="32"/>
      <c r="D332" s="1" t="s">
        <v>312</v>
      </c>
      <c r="E332" s="36">
        <f>E12*4.65</f>
        <v>344.1</v>
      </c>
      <c r="F332" s="36">
        <f t="shared" si="21"/>
        <v>326.89500000000004</v>
      </c>
      <c r="G332" s="26">
        <f t="shared" si="22"/>
        <v>309.69</v>
      </c>
      <c r="H332" s="26">
        <f t="shared" si="23"/>
        <v>292.48500000000001</v>
      </c>
    </row>
    <row r="333" spans="1:8" x14ac:dyDescent="0.2">
      <c r="A333" s="31">
        <f t="shared" si="20"/>
        <v>319</v>
      </c>
      <c r="B333" s="9" t="s">
        <v>622</v>
      </c>
      <c r="C333" s="32"/>
      <c r="D333" s="1" t="s">
        <v>623</v>
      </c>
      <c r="E333" s="36">
        <f>E12*7.72</f>
        <v>571.28</v>
      </c>
      <c r="F333" s="36">
        <f t="shared" si="21"/>
        <v>542.71600000000001</v>
      </c>
      <c r="G333" s="26">
        <f t="shared" si="22"/>
        <v>514.15199999999993</v>
      </c>
      <c r="H333" s="26">
        <f t="shared" si="23"/>
        <v>485.58799999999997</v>
      </c>
    </row>
    <row r="334" spans="1:8" x14ac:dyDescent="0.2">
      <c r="A334" s="31">
        <f t="shared" si="20"/>
        <v>320</v>
      </c>
      <c r="B334" s="9" t="s">
        <v>787</v>
      </c>
      <c r="C334" s="32"/>
      <c r="D334" s="1" t="s">
        <v>788</v>
      </c>
      <c r="E334" s="36">
        <f>E12*20.7</f>
        <v>1531.8</v>
      </c>
      <c r="F334" s="36">
        <f t="shared" si="21"/>
        <v>1455.21</v>
      </c>
      <c r="G334" s="26">
        <f t="shared" si="22"/>
        <v>1378.62</v>
      </c>
      <c r="H334" s="26">
        <f t="shared" si="23"/>
        <v>1302.03</v>
      </c>
    </row>
    <row r="335" spans="1:8" x14ac:dyDescent="0.2">
      <c r="A335" s="31">
        <f t="shared" si="20"/>
        <v>321</v>
      </c>
      <c r="B335" s="9" t="s">
        <v>219</v>
      </c>
      <c r="C335" s="32"/>
      <c r="D335" s="1" t="s">
        <v>220</v>
      </c>
      <c r="E335" s="36">
        <f>E12*27.85</f>
        <v>2060.9</v>
      </c>
      <c r="F335" s="36">
        <f t="shared" si="21"/>
        <v>1957.855</v>
      </c>
      <c r="G335" s="26">
        <f t="shared" si="22"/>
        <v>1854.81</v>
      </c>
      <c r="H335" s="26">
        <f t="shared" si="23"/>
        <v>1751.7650000000001</v>
      </c>
    </row>
    <row r="336" spans="1:8" x14ac:dyDescent="0.2">
      <c r="A336" s="31">
        <f t="shared" si="20"/>
        <v>322</v>
      </c>
      <c r="B336" s="9" t="s">
        <v>221</v>
      </c>
      <c r="C336" s="32">
        <v>264043</v>
      </c>
      <c r="D336" s="1" t="s">
        <v>1644</v>
      </c>
      <c r="E336" s="36">
        <f>E12*22.93</f>
        <v>1696.82</v>
      </c>
      <c r="F336" s="36">
        <f t="shared" si="21"/>
        <v>1611.9789999999998</v>
      </c>
      <c r="G336" s="26">
        <f t="shared" si="22"/>
        <v>1527.1379999999999</v>
      </c>
      <c r="H336" s="26">
        <f t="shared" si="23"/>
        <v>1442.297</v>
      </c>
    </row>
    <row r="337" spans="1:8" x14ac:dyDescent="0.2">
      <c r="A337" s="31">
        <f t="shared" ref="A337:A400" si="24">A336+1</f>
        <v>323</v>
      </c>
      <c r="B337" s="9" t="s">
        <v>77</v>
      </c>
      <c r="C337" s="32">
        <v>81392006011</v>
      </c>
      <c r="D337" s="1" t="s">
        <v>1645</v>
      </c>
      <c r="E337" s="36">
        <f>E12*24.4</f>
        <v>1805.6</v>
      </c>
      <c r="F337" s="36">
        <f t="shared" si="21"/>
        <v>1715.32</v>
      </c>
      <c r="G337" s="26">
        <f t="shared" si="22"/>
        <v>1625.04</v>
      </c>
      <c r="H337" s="26">
        <f t="shared" si="23"/>
        <v>1534.76</v>
      </c>
    </row>
    <row r="338" spans="1:8" x14ac:dyDescent="0.2">
      <c r="A338" s="31">
        <f t="shared" si="24"/>
        <v>324</v>
      </c>
      <c r="B338" s="9" t="s">
        <v>78</v>
      </c>
      <c r="C338" s="32">
        <v>9734100031</v>
      </c>
      <c r="D338" s="1" t="s">
        <v>1646</v>
      </c>
      <c r="E338" s="36">
        <f>E12*30.62</f>
        <v>2265.88</v>
      </c>
      <c r="F338" s="36">
        <f t="shared" si="21"/>
        <v>2152.5860000000002</v>
      </c>
      <c r="G338" s="26">
        <f t="shared" si="22"/>
        <v>2039.2920000000001</v>
      </c>
      <c r="H338" s="26">
        <f t="shared" si="23"/>
        <v>1925.998</v>
      </c>
    </row>
    <row r="339" spans="1:8" x14ac:dyDescent="0.2">
      <c r="A339" s="31">
        <f t="shared" si="24"/>
        <v>325</v>
      </c>
      <c r="B339" s="9" t="s">
        <v>1203</v>
      </c>
      <c r="C339" s="32">
        <v>8340360001</v>
      </c>
      <c r="D339" s="1" t="s">
        <v>1647</v>
      </c>
      <c r="E339" s="36">
        <f>E12*50.96</f>
        <v>3771.04</v>
      </c>
      <c r="F339" s="36">
        <f t="shared" si="21"/>
        <v>3582.4879999999998</v>
      </c>
      <c r="G339" s="26">
        <f t="shared" si="22"/>
        <v>3393.9359999999997</v>
      </c>
      <c r="H339" s="26">
        <f t="shared" si="23"/>
        <v>3205.384</v>
      </c>
    </row>
    <row r="340" spans="1:8" x14ac:dyDescent="0.2">
      <c r="A340" s="31">
        <f t="shared" si="24"/>
        <v>326</v>
      </c>
      <c r="B340" s="9" t="s">
        <v>169</v>
      </c>
      <c r="C340" s="32"/>
      <c r="D340" s="1" t="s">
        <v>25</v>
      </c>
      <c r="E340" s="36">
        <f>E12*32.65</f>
        <v>2416.1</v>
      </c>
      <c r="F340" s="36">
        <f t="shared" si="21"/>
        <v>2295.2950000000001</v>
      </c>
      <c r="G340" s="26">
        <f t="shared" si="22"/>
        <v>2174.4899999999998</v>
      </c>
      <c r="H340" s="26">
        <f t="shared" si="23"/>
        <v>2053.6849999999999</v>
      </c>
    </row>
    <row r="341" spans="1:8" x14ac:dyDescent="0.2">
      <c r="A341" s="31">
        <f t="shared" si="24"/>
        <v>327</v>
      </c>
      <c r="B341" s="9" t="s">
        <v>132</v>
      </c>
      <c r="C341" s="32">
        <v>81392006021</v>
      </c>
      <c r="D341" s="1" t="s">
        <v>1648</v>
      </c>
      <c r="E341" s="36">
        <f>E12*38.78</f>
        <v>2869.7200000000003</v>
      </c>
      <c r="F341" s="36">
        <f t="shared" si="21"/>
        <v>2726.2340000000004</v>
      </c>
      <c r="G341" s="26">
        <f t="shared" si="22"/>
        <v>2582.748</v>
      </c>
      <c r="H341" s="26">
        <f t="shared" si="23"/>
        <v>2439.2620000000002</v>
      </c>
    </row>
    <row r="342" spans="1:8" x14ac:dyDescent="0.2">
      <c r="A342" s="31">
        <f t="shared" si="24"/>
        <v>328</v>
      </c>
      <c r="B342" s="9" t="s">
        <v>215</v>
      </c>
      <c r="C342" s="32">
        <v>81391266020</v>
      </c>
      <c r="D342" s="1" t="s">
        <v>1649</v>
      </c>
      <c r="E342" s="36">
        <f>E12*41.86</f>
        <v>3097.64</v>
      </c>
      <c r="F342" s="36">
        <f t="shared" si="21"/>
        <v>2942.7579999999998</v>
      </c>
      <c r="G342" s="26">
        <f t="shared" si="22"/>
        <v>2787.8759999999997</v>
      </c>
      <c r="H342" s="26">
        <f t="shared" si="23"/>
        <v>2632.9939999999997</v>
      </c>
    </row>
    <row r="343" spans="1:8" x14ac:dyDescent="0.2">
      <c r="A343" s="31">
        <f t="shared" si="24"/>
        <v>329</v>
      </c>
      <c r="B343" s="9" t="s">
        <v>382</v>
      </c>
      <c r="C343" s="32"/>
      <c r="D343" s="1" t="s">
        <v>381</v>
      </c>
      <c r="E343" s="36">
        <f>E12*42.58</f>
        <v>3150.92</v>
      </c>
      <c r="F343" s="36">
        <f t="shared" si="21"/>
        <v>2993.3740000000003</v>
      </c>
      <c r="G343" s="26">
        <f t="shared" si="22"/>
        <v>2835.828</v>
      </c>
      <c r="H343" s="26">
        <f t="shared" si="23"/>
        <v>2678.2820000000002</v>
      </c>
    </row>
    <row r="344" spans="1:8" x14ac:dyDescent="0.2">
      <c r="A344" s="31">
        <f t="shared" si="24"/>
        <v>330</v>
      </c>
      <c r="B344" s="9" t="s">
        <v>170</v>
      </c>
      <c r="C344" s="32" t="s">
        <v>1651</v>
      </c>
      <c r="D344" s="1" t="s">
        <v>1650</v>
      </c>
      <c r="E344" s="36">
        <f>E12*37</f>
        <v>2738</v>
      </c>
      <c r="F344" s="36">
        <f t="shared" si="21"/>
        <v>2601.1</v>
      </c>
      <c r="G344" s="26">
        <f t="shared" si="22"/>
        <v>2464.1999999999998</v>
      </c>
      <c r="H344" s="26">
        <f t="shared" si="23"/>
        <v>2327.3000000000002</v>
      </c>
    </row>
    <row r="345" spans="1:8" x14ac:dyDescent="0.2">
      <c r="A345" s="31">
        <f t="shared" si="24"/>
        <v>331</v>
      </c>
      <c r="B345" s="9" t="s">
        <v>1278</v>
      </c>
      <c r="C345" s="32">
        <v>81326106070</v>
      </c>
      <c r="D345" s="1" t="s">
        <v>1652</v>
      </c>
      <c r="E345" s="36">
        <f>E12*21.14</f>
        <v>1564.3600000000001</v>
      </c>
      <c r="F345" s="36">
        <f t="shared" si="21"/>
        <v>1486.1420000000001</v>
      </c>
      <c r="G345" s="26">
        <f t="shared" si="22"/>
        <v>1407.924</v>
      </c>
      <c r="H345" s="26">
        <f t="shared" si="23"/>
        <v>1329.7060000000001</v>
      </c>
    </row>
    <row r="346" spans="1:8" x14ac:dyDescent="0.2">
      <c r="A346" s="31">
        <f t="shared" si="24"/>
        <v>332</v>
      </c>
      <c r="B346" s="9" t="s">
        <v>1175</v>
      </c>
      <c r="C346" s="32" t="s">
        <v>1654</v>
      </c>
      <c r="D346" s="1" t="s">
        <v>1653</v>
      </c>
      <c r="E346" s="36">
        <f>E12*21.14</f>
        <v>1564.3600000000001</v>
      </c>
      <c r="F346" s="36">
        <f t="shared" si="21"/>
        <v>1486.1420000000001</v>
      </c>
      <c r="G346" s="26">
        <f t="shared" si="22"/>
        <v>1407.924</v>
      </c>
      <c r="H346" s="26">
        <f t="shared" si="23"/>
        <v>1329.7060000000001</v>
      </c>
    </row>
    <row r="347" spans="1:8" x14ac:dyDescent="0.2">
      <c r="A347" s="31">
        <f t="shared" si="24"/>
        <v>333</v>
      </c>
      <c r="B347" s="9" t="s">
        <v>1243</v>
      </c>
      <c r="C347" s="32"/>
      <c r="D347" s="1" t="s">
        <v>336</v>
      </c>
      <c r="E347" s="36">
        <f>E12*20.6</f>
        <v>1524.4</v>
      </c>
      <c r="F347" s="36">
        <f t="shared" si="21"/>
        <v>1448.18</v>
      </c>
      <c r="G347" s="26">
        <f t="shared" si="22"/>
        <v>1371.96</v>
      </c>
      <c r="H347" s="26">
        <f t="shared" si="23"/>
        <v>1295.74</v>
      </c>
    </row>
    <row r="348" spans="1:8" x14ac:dyDescent="0.2">
      <c r="A348" s="31">
        <f t="shared" si="24"/>
        <v>334</v>
      </c>
      <c r="B348" s="9" t="s">
        <v>1192</v>
      </c>
      <c r="C348" s="32"/>
      <c r="D348" s="1" t="s">
        <v>314</v>
      </c>
      <c r="E348" s="36">
        <f>E12*4.65</f>
        <v>344.1</v>
      </c>
      <c r="F348" s="36">
        <f t="shared" si="21"/>
        <v>326.89500000000004</v>
      </c>
      <c r="G348" s="26">
        <f t="shared" si="22"/>
        <v>309.69</v>
      </c>
      <c r="H348" s="26">
        <f t="shared" si="23"/>
        <v>292.48500000000001</v>
      </c>
    </row>
    <row r="349" spans="1:8" x14ac:dyDescent="0.2">
      <c r="A349" s="31">
        <f t="shared" si="24"/>
        <v>335</v>
      </c>
      <c r="B349" s="9" t="s">
        <v>148</v>
      </c>
      <c r="C349" s="32">
        <v>4031300214</v>
      </c>
      <c r="D349" s="1" t="s">
        <v>1655</v>
      </c>
      <c r="E349" s="36">
        <f>E12*50.05</f>
        <v>3703.7</v>
      </c>
      <c r="F349" s="36">
        <f t="shared" si="21"/>
        <v>3518.5149999999999</v>
      </c>
      <c r="G349" s="26">
        <f t="shared" si="22"/>
        <v>3333.33</v>
      </c>
      <c r="H349" s="26">
        <f t="shared" si="23"/>
        <v>3148.145</v>
      </c>
    </row>
    <row r="350" spans="1:8" x14ac:dyDescent="0.2">
      <c r="A350" s="31">
        <f t="shared" si="24"/>
        <v>336</v>
      </c>
      <c r="B350" s="9" t="s">
        <v>1176</v>
      </c>
      <c r="C350" s="32">
        <v>4031310716</v>
      </c>
      <c r="D350" s="1" t="s">
        <v>1656</v>
      </c>
      <c r="E350" s="36">
        <f>E12*42.78</f>
        <v>3165.7200000000003</v>
      </c>
      <c r="F350" s="36">
        <f t="shared" si="21"/>
        <v>3007.4340000000002</v>
      </c>
      <c r="G350" s="26">
        <f t="shared" si="22"/>
        <v>2849.1480000000001</v>
      </c>
      <c r="H350" s="26">
        <f t="shared" si="23"/>
        <v>2690.8620000000001</v>
      </c>
    </row>
    <row r="351" spans="1:8" x14ac:dyDescent="0.2">
      <c r="A351" s="31">
        <f t="shared" si="24"/>
        <v>337</v>
      </c>
      <c r="B351" s="9" t="s">
        <v>821</v>
      </c>
      <c r="C351" s="32">
        <v>4471300014</v>
      </c>
      <c r="D351" s="1" t="s">
        <v>1657</v>
      </c>
      <c r="E351" s="36">
        <f>E12*70.98</f>
        <v>5252.52</v>
      </c>
      <c r="F351" s="36">
        <f t="shared" si="21"/>
        <v>4989.8940000000002</v>
      </c>
      <c r="G351" s="26">
        <f t="shared" si="22"/>
        <v>4727.268</v>
      </c>
      <c r="H351" s="26">
        <f t="shared" si="23"/>
        <v>4464.6420000000007</v>
      </c>
    </row>
    <row r="352" spans="1:8" x14ac:dyDescent="0.2">
      <c r="A352" s="31">
        <f t="shared" si="24"/>
        <v>338</v>
      </c>
      <c r="B352" s="9" t="s">
        <v>886</v>
      </c>
      <c r="C352" s="32">
        <v>4471300014</v>
      </c>
      <c r="D352" s="1" t="s">
        <v>1658</v>
      </c>
      <c r="E352" s="36">
        <f>E12*57.78</f>
        <v>4275.72</v>
      </c>
      <c r="F352" s="36">
        <f t="shared" si="21"/>
        <v>4061.9340000000002</v>
      </c>
      <c r="G352" s="26">
        <f t="shared" si="22"/>
        <v>3848.1480000000001</v>
      </c>
      <c r="H352" s="26">
        <f t="shared" si="23"/>
        <v>3634.3620000000001</v>
      </c>
    </row>
    <row r="353" spans="1:8" x14ac:dyDescent="0.2">
      <c r="A353" s="31">
        <f t="shared" si="24"/>
        <v>339</v>
      </c>
      <c r="B353" s="9" t="s">
        <v>515</v>
      </c>
      <c r="C353" s="32">
        <v>4410302101</v>
      </c>
      <c r="D353" s="1" t="s">
        <v>1635</v>
      </c>
      <c r="E353" s="36">
        <f>E12*992</f>
        <v>73408</v>
      </c>
      <c r="F353" s="36">
        <f t="shared" si="21"/>
        <v>69737.600000000006</v>
      </c>
      <c r="G353" s="26">
        <f t="shared" si="22"/>
        <v>66067.199999999997</v>
      </c>
      <c r="H353" s="26">
        <f t="shared" si="23"/>
        <v>62396.800000000003</v>
      </c>
    </row>
    <row r="354" spans="1:8" x14ac:dyDescent="0.2">
      <c r="A354" s="31">
        <f t="shared" si="24"/>
        <v>340</v>
      </c>
      <c r="B354" s="9" t="s">
        <v>809</v>
      </c>
      <c r="C354" s="32">
        <v>4010302301</v>
      </c>
      <c r="D354" s="1" t="s">
        <v>1636</v>
      </c>
      <c r="E354" s="36">
        <f>E12*992</f>
        <v>73408</v>
      </c>
      <c r="F354" s="36">
        <f t="shared" si="21"/>
        <v>69737.600000000006</v>
      </c>
      <c r="G354" s="26">
        <f t="shared" si="22"/>
        <v>66067.199999999997</v>
      </c>
      <c r="H354" s="26">
        <f t="shared" si="23"/>
        <v>62396.800000000003</v>
      </c>
    </row>
    <row r="355" spans="1:8" x14ac:dyDescent="0.2">
      <c r="A355" s="31">
        <f t="shared" si="24"/>
        <v>341</v>
      </c>
      <c r="B355" s="9" t="s">
        <v>1198</v>
      </c>
      <c r="C355" s="32" t="s">
        <v>1660</v>
      </c>
      <c r="D355" s="1" t="s">
        <v>1659</v>
      </c>
      <c r="E355" s="36">
        <f>E12*80.08</f>
        <v>5925.92</v>
      </c>
      <c r="F355" s="36">
        <f t="shared" si="21"/>
        <v>5629.6239999999998</v>
      </c>
      <c r="G355" s="26">
        <f t="shared" si="22"/>
        <v>5333.3280000000004</v>
      </c>
      <c r="H355" s="26">
        <f t="shared" si="23"/>
        <v>5037.0320000000002</v>
      </c>
    </row>
    <row r="356" spans="1:8" s="29" customFormat="1" x14ac:dyDescent="0.2">
      <c r="A356" s="31">
        <f t="shared" si="24"/>
        <v>342</v>
      </c>
      <c r="B356" s="32">
        <v>120111</v>
      </c>
      <c r="C356" s="32">
        <v>83511990000</v>
      </c>
      <c r="D356" s="30" t="s">
        <v>1661</v>
      </c>
      <c r="E356" s="36">
        <f>E12*56.23</f>
        <v>4161.0199999999995</v>
      </c>
      <c r="F356" s="36">
        <f t="shared" si="21"/>
        <v>3952.9689999999996</v>
      </c>
      <c r="G356" s="26">
        <f t="shared" si="22"/>
        <v>3744.9179999999997</v>
      </c>
      <c r="H356" s="26">
        <f t="shared" si="23"/>
        <v>3536.8669999999997</v>
      </c>
    </row>
    <row r="357" spans="1:8" x14ac:dyDescent="0.2">
      <c r="A357" s="31">
        <f t="shared" si="24"/>
        <v>343</v>
      </c>
      <c r="B357" s="9" t="s">
        <v>152</v>
      </c>
      <c r="C357" s="32">
        <v>4031301045</v>
      </c>
      <c r="D357" s="1" t="s">
        <v>2199</v>
      </c>
      <c r="E357" s="36">
        <f>E12*30.48</f>
        <v>2255.52</v>
      </c>
      <c r="F357" s="36">
        <f t="shared" si="21"/>
        <v>2142.7440000000001</v>
      </c>
      <c r="G357" s="26">
        <f t="shared" si="22"/>
        <v>2029.9679999999998</v>
      </c>
      <c r="H357" s="26">
        <f t="shared" si="23"/>
        <v>1917.192</v>
      </c>
    </row>
    <row r="358" spans="1:8" x14ac:dyDescent="0.2">
      <c r="A358" s="31">
        <f t="shared" si="24"/>
        <v>344</v>
      </c>
      <c r="B358" s="9" t="s">
        <v>883</v>
      </c>
      <c r="C358" s="32">
        <v>4421310021</v>
      </c>
      <c r="D358" s="1" t="s">
        <v>2200</v>
      </c>
      <c r="E358" s="36">
        <f>E12*10.8</f>
        <v>799.2</v>
      </c>
      <c r="F358" s="36">
        <f t="shared" si="21"/>
        <v>759.24</v>
      </c>
      <c r="G358" s="26">
        <f t="shared" si="22"/>
        <v>719.28</v>
      </c>
      <c r="H358" s="26">
        <f t="shared" si="23"/>
        <v>679.32</v>
      </c>
    </row>
    <row r="359" spans="1:8" x14ac:dyDescent="0.2">
      <c r="A359" s="31">
        <f t="shared" si="24"/>
        <v>345</v>
      </c>
      <c r="B359" s="9" t="s">
        <v>884</v>
      </c>
      <c r="C359" s="32">
        <v>4071310021</v>
      </c>
      <c r="D359" s="1" t="s">
        <v>2201</v>
      </c>
      <c r="E359" s="36">
        <f>E12*10.8</f>
        <v>799.2</v>
      </c>
      <c r="F359" s="36">
        <f t="shared" si="21"/>
        <v>759.24</v>
      </c>
      <c r="G359" s="26">
        <f t="shared" si="22"/>
        <v>719.28</v>
      </c>
      <c r="H359" s="26">
        <f t="shared" si="23"/>
        <v>679.32</v>
      </c>
    </row>
    <row r="360" spans="1:8" x14ac:dyDescent="0.2">
      <c r="A360" s="31">
        <f t="shared" si="24"/>
        <v>346</v>
      </c>
      <c r="B360" s="9" t="s">
        <v>885</v>
      </c>
      <c r="C360" s="32">
        <v>4421311342</v>
      </c>
      <c r="D360" s="1" t="s">
        <v>2203</v>
      </c>
      <c r="E360" s="36">
        <f>E12*28.72</f>
        <v>2125.2799999999997</v>
      </c>
      <c r="F360" s="36">
        <f t="shared" si="21"/>
        <v>2019.0159999999998</v>
      </c>
      <c r="G360" s="26">
        <f t="shared" si="22"/>
        <v>1912.7519999999997</v>
      </c>
      <c r="H360" s="26">
        <f t="shared" si="23"/>
        <v>1806.4879999999998</v>
      </c>
    </row>
    <row r="361" spans="1:8" x14ac:dyDescent="0.2">
      <c r="A361" s="31">
        <f t="shared" si="24"/>
        <v>347</v>
      </c>
      <c r="B361" s="9" t="s">
        <v>206</v>
      </c>
      <c r="C361" s="32"/>
      <c r="D361" s="1" t="s">
        <v>207</v>
      </c>
      <c r="E361" s="36">
        <f>E12*4.55</f>
        <v>336.7</v>
      </c>
      <c r="F361" s="36">
        <f t="shared" si="21"/>
        <v>319.86500000000001</v>
      </c>
      <c r="G361" s="26">
        <f t="shared" si="22"/>
        <v>303.02999999999997</v>
      </c>
      <c r="H361" s="26">
        <f t="shared" si="23"/>
        <v>286.19499999999999</v>
      </c>
    </row>
    <row r="362" spans="1:8" x14ac:dyDescent="0.2">
      <c r="A362" s="31">
        <f t="shared" si="24"/>
        <v>348</v>
      </c>
      <c r="B362" s="9" t="s">
        <v>63</v>
      </c>
      <c r="C362" s="32" t="s">
        <v>2205</v>
      </c>
      <c r="D362" s="1" t="s">
        <v>2204</v>
      </c>
      <c r="E362" s="36">
        <f>E12*6.37</f>
        <v>471.38</v>
      </c>
      <c r="F362" s="36">
        <f t="shared" si="21"/>
        <v>447.81099999999998</v>
      </c>
      <c r="G362" s="26">
        <f t="shared" si="22"/>
        <v>424.24199999999996</v>
      </c>
      <c r="H362" s="26">
        <f t="shared" si="23"/>
        <v>400.673</v>
      </c>
    </row>
    <row r="363" spans="1:8" x14ac:dyDescent="0.2">
      <c r="A363" s="31">
        <f t="shared" si="24"/>
        <v>349</v>
      </c>
      <c r="B363" s="9" t="s">
        <v>213</v>
      </c>
      <c r="C363" s="32" t="s">
        <v>2207</v>
      </c>
      <c r="D363" s="1" t="s">
        <v>2206</v>
      </c>
      <c r="E363" s="36">
        <f>E12*6.68</f>
        <v>494.32</v>
      </c>
      <c r="F363" s="36">
        <f t="shared" si="21"/>
        <v>469.60399999999998</v>
      </c>
      <c r="G363" s="26">
        <f t="shared" si="22"/>
        <v>444.88799999999998</v>
      </c>
      <c r="H363" s="26">
        <f t="shared" si="23"/>
        <v>420.17200000000003</v>
      </c>
    </row>
    <row r="364" spans="1:8" x14ac:dyDescent="0.2">
      <c r="A364" s="31">
        <f t="shared" si="24"/>
        <v>350</v>
      </c>
      <c r="B364" s="9" t="s">
        <v>1111</v>
      </c>
      <c r="C364" s="32">
        <v>3872612218</v>
      </c>
      <c r="D364" s="1" t="s">
        <v>2208</v>
      </c>
      <c r="E364" s="36">
        <f>E12*63.7</f>
        <v>4713.8</v>
      </c>
      <c r="F364" s="36">
        <f t="shared" si="21"/>
        <v>4478.1100000000006</v>
      </c>
      <c r="G364" s="26">
        <f t="shared" si="22"/>
        <v>4242.42</v>
      </c>
      <c r="H364" s="26">
        <f t="shared" si="23"/>
        <v>4006.73</v>
      </c>
    </row>
    <row r="365" spans="1:8" x14ac:dyDescent="0.2">
      <c r="A365" s="31">
        <f t="shared" si="24"/>
        <v>351</v>
      </c>
      <c r="B365" s="9" t="s">
        <v>233</v>
      </c>
      <c r="C365" s="32" t="s">
        <v>2210</v>
      </c>
      <c r="D365" s="1" t="s">
        <v>2209</v>
      </c>
      <c r="E365" s="36">
        <f>E12*2.45</f>
        <v>181.3</v>
      </c>
      <c r="F365" s="36">
        <f t="shared" ref="F365:F417" si="25">E365-E365*5%</f>
        <v>172.23500000000001</v>
      </c>
      <c r="G365" s="26">
        <f t="shared" ref="G365:G417" si="26">E365-E365*10%</f>
        <v>163.17000000000002</v>
      </c>
      <c r="H365" s="26">
        <f t="shared" ref="H365:H417" si="27">E365-E365*15%</f>
        <v>154.10500000000002</v>
      </c>
    </row>
    <row r="366" spans="1:8" x14ac:dyDescent="0.2">
      <c r="A366" s="31">
        <f t="shared" si="24"/>
        <v>352</v>
      </c>
      <c r="B366" s="9" t="s">
        <v>259</v>
      </c>
      <c r="C366" s="32"/>
      <c r="D366" s="1" t="s">
        <v>261</v>
      </c>
      <c r="E366" s="36">
        <f>E12*2.45</f>
        <v>181.3</v>
      </c>
      <c r="F366" s="36">
        <f t="shared" si="25"/>
        <v>172.23500000000001</v>
      </c>
      <c r="G366" s="26">
        <f t="shared" si="26"/>
        <v>163.17000000000002</v>
      </c>
      <c r="H366" s="26">
        <f t="shared" si="27"/>
        <v>154.10500000000002</v>
      </c>
    </row>
    <row r="367" spans="1:8" x14ac:dyDescent="0.2">
      <c r="A367" s="31">
        <f t="shared" si="24"/>
        <v>353</v>
      </c>
      <c r="B367" s="9" t="s">
        <v>260</v>
      </c>
      <c r="C367" s="32">
        <v>8971216104</v>
      </c>
      <c r="D367" s="1" t="s">
        <v>2211</v>
      </c>
      <c r="E367" s="36">
        <f>E12*3.54</f>
        <v>261.95999999999998</v>
      </c>
      <c r="F367" s="36">
        <f t="shared" si="25"/>
        <v>248.86199999999997</v>
      </c>
      <c r="G367" s="26">
        <f t="shared" si="26"/>
        <v>235.76399999999998</v>
      </c>
      <c r="H367" s="26">
        <f t="shared" si="27"/>
        <v>222.666</v>
      </c>
    </row>
    <row r="368" spans="1:8" x14ac:dyDescent="0.2">
      <c r="A368" s="31">
        <f t="shared" si="24"/>
        <v>354</v>
      </c>
      <c r="B368" s="9" t="s">
        <v>263</v>
      </c>
      <c r="C368" s="32" t="s">
        <v>2213</v>
      </c>
      <c r="D368" s="1" t="s">
        <v>2212</v>
      </c>
      <c r="E368" s="36">
        <f>E12*2.45</f>
        <v>181.3</v>
      </c>
      <c r="F368" s="36">
        <f t="shared" si="25"/>
        <v>172.23500000000001</v>
      </c>
      <c r="G368" s="26">
        <f t="shared" si="26"/>
        <v>163.17000000000002</v>
      </c>
      <c r="H368" s="26">
        <f t="shared" si="27"/>
        <v>154.10500000000002</v>
      </c>
    </row>
    <row r="369" spans="1:8" x14ac:dyDescent="0.2">
      <c r="A369" s="31">
        <f t="shared" si="24"/>
        <v>355</v>
      </c>
      <c r="B369" s="9" t="s">
        <v>262</v>
      </c>
      <c r="C369" s="32" t="s">
        <v>2215</v>
      </c>
      <c r="D369" s="1" t="s">
        <v>2214</v>
      </c>
      <c r="E369" s="36">
        <f>E12*2.45</f>
        <v>181.3</v>
      </c>
      <c r="F369" s="36">
        <f t="shared" si="25"/>
        <v>172.23500000000001</v>
      </c>
      <c r="G369" s="26">
        <f t="shared" si="26"/>
        <v>163.17000000000002</v>
      </c>
      <c r="H369" s="26">
        <f t="shared" si="27"/>
        <v>154.10500000000002</v>
      </c>
    </row>
    <row r="370" spans="1:8" x14ac:dyDescent="0.2">
      <c r="A370" s="31">
        <f t="shared" si="24"/>
        <v>356</v>
      </c>
      <c r="B370" s="9" t="s">
        <v>242</v>
      </c>
      <c r="C370" s="32" t="s">
        <v>2219</v>
      </c>
      <c r="D370" s="1" t="s">
        <v>2218</v>
      </c>
      <c r="E370" s="36">
        <f>E12*2.45</f>
        <v>181.3</v>
      </c>
      <c r="F370" s="36">
        <f t="shared" si="25"/>
        <v>172.23500000000001</v>
      </c>
      <c r="G370" s="26">
        <f t="shared" si="26"/>
        <v>163.17000000000002</v>
      </c>
      <c r="H370" s="26">
        <f t="shared" si="27"/>
        <v>154.10500000000002</v>
      </c>
    </row>
    <row r="371" spans="1:8" x14ac:dyDescent="0.2">
      <c r="A371" s="31">
        <f t="shared" si="24"/>
        <v>357</v>
      </c>
      <c r="B371" s="9" t="s">
        <v>1106</v>
      </c>
      <c r="C371" s="32" t="s">
        <v>2217</v>
      </c>
      <c r="D371" s="1" t="s">
        <v>2216</v>
      </c>
      <c r="E371" s="36">
        <f>E12*2.46</f>
        <v>182.04</v>
      </c>
      <c r="F371" s="36">
        <f t="shared" si="25"/>
        <v>172.93799999999999</v>
      </c>
      <c r="G371" s="26">
        <f t="shared" si="26"/>
        <v>163.83599999999998</v>
      </c>
      <c r="H371" s="26">
        <f t="shared" si="27"/>
        <v>154.73399999999998</v>
      </c>
    </row>
    <row r="372" spans="1:8" x14ac:dyDescent="0.2">
      <c r="A372" s="31">
        <f t="shared" si="24"/>
        <v>358</v>
      </c>
      <c r="B372" s="9" t="s">
        <v>171</v>
      </c>
      <c r="C372" s="32" t="s">
        <v>2221</v>
      </c>
      <c r="D372" s="1" t="s">
        <v>2220</v>
      </c>
      <c r="E372" s="36">
        <f>E12*2.46</f>
        <v>182.04</v>
      </c>
      <c r="F372" s="36">
        <f t="shared" si="25"/>
        <v>172.93799999999999</v>
      </c>
      <c r="G372" s="26">
        <f t="shared" si="26"/>
        <v>163.83599999999998</v>
      </c>
      <c r="H372" s="26">
        <f t="shared" si="27"/>
        <v>154.73399999999998</v>
      </c>
    </row>
    <row r="373" spans="1:8" x14ac:dyDescent="0.2">
      <c r="A373" s="31">
        <f t="shared" si="24"/>
        <v>359</v>
      </c>
      <c r="B373" s="9" t="s">
        <v>264</v>
      </c>
      <c r="C373" s="32" t="s">
        <v>2223</v>
      </c>
      <c r="D373" s="1" t="s">
        <v>2222</v>
      </c>
      <c r="E373" s="36">
        <f>E12*2.45</f>
        <v>181.3</v>
      </c>
      <c r="F373" s="36">
        <f t="shared" si="25"/>
        <v>172.23500000000001</v>
      </c>
      <c r="G373" s="26">
        <f t="shared" si="26"/>
        <v>163.17000000000002</v>
      </c>
      <c r="H373" s="26">
        <f t="shared" si="27"/>
        <v>154.10500000000002</v>
      </c>
    </row>
    <row r="374" spans="1:8" x14ac:dyDescent="0.2">
      <c r="A374" s="31">
        <f t="shared" si="24"/>
        <v>360</v>
      </c>
      <c r="B374" s="9" t="s">
        <v>675</v>
      </c>
      <c r="C374" s="32" t="s">
        <v>2225</v>
      </c>
      <c r="D374" s="1" t="s">
        <v>2224</v>
      </c>
      <c r="E374" s="36">
        <f>E12*2.47</f>
        <v>182.78</v>
      </c>
      <c r="F374" s="36">
        <f t="shared" si="25"/>
        <v>173.64099999999999</v>
      </c>
      <c r="G374" s="26">
        <f t="shared" si="26"/>
        <v>164.50200000000001</v>
      </c>
      <c r="H374" s="26">
        <f t="shared" si="27"/>
        <v>155.363</v>
      </c>
    </row>
    <row r="375" spans="1:8" x14ac:dyDescent="0.2">
      <c r="A375" s="31">
        <f t="shared" si="24"/>
        <v>361</v>
      </c>
      <c r="B375" s="9" t="s">
        <v>172</v>
      </c>
      <c r="C375" s="32" t="s">
        <v>2227</v>
      </c>
      <c r="D375" s="1" t="s">
        <v>2226</v>
      </c>
      <c r="E375" s="36">
        <f>E12*2.47</f>
        <v>182.78</v>
      </c>
      <c r="F375" s="36">
        <f t="shared" si="25"/>
        <v>173.64099999999999</v>
      </c>
      <c r="G375" s="26">
        <f t="shared" si="26"/>
        <v>164.50200000000001</v>
      </c>
      <c r="H375" s="26">
        <f t="shared" si="27"/>
        <v>155.363</v>
      </c>
    </row>
    <row r="376" spans="1:8" x14ac:dyDescent="0.2">
      <c r="A376" s="31">
        <f t="shared" si="24"/>
        <v>362</v>
      </c>
      <c r="B376" s="9" t="s">
        <v>249</v>
      </c>
      <c r="C376" s="32">
        <v>8971205404</v>
      </c>
      <c r="D376" s="1" t="s">
        <v>2228</v>
      </c>
      <c r="E376" s="36">
        <f>E12*2.45</f>
        <v>181.3</v>
      </c>
      <c r="F376" s="36">
        <f t="shared" si="25"/>
        <v>172.23500000000001</v>
      </c>
      <c r="G376" s="26">
        <f t="shared" si="26"/>
        <v>163.17000000000002</v>
      </c>
      <c r="H376" s="26">
        <f t="shared" si="27"/>
        <v>154.10500000000002</v>
      </c>
    </row>
    <row r="377" spans="1:8" x14ac:dyDescent="0.2">
      <c r="A377" s="31">
        <f t="shared" si="24"/>
        <v>363</v>
      </c>
      <c r="B377" s="9" t="s">
        <v>250</v>
      </c>
      <c r="C377" s="32"/>
      <c r="D377" s="1" t="s">
        <v>265</v>
      </c>
      <c r="E377" s="36">
        <f>E12*2.45</f>
        <v>181.3</v>
      </c>
      <c r="F377" s="36">
        <f t="shared" si="25"/>
        <v>172.23500000000001</v>
      </c>
      <c r="G377" s="26">
        <f t="shared" si="26"/>
        <v>163.17000000000002</v>
      </c>
      <c r="H377" s="26">
        <f t="shared" si="27"/>
        <v>154.10500000000002</v>
      </c>
    </row>
    <row r="378" spans="1:8" x14ac:dyDescent="0.2">
      <c r="A378" s="31">
        <f t="shared" si="24"/>
        <v>364</v>
      </c>
      <c r="B378" s="9" t="s">
        <v>1242</v>
      </c>
      <c r="C378" s="32" t="s">
        <v>2230</v>
      </c>
      <c r="D378" s="1" t="s">
        <v>2229</v>
      </c>
      <c r="E378" s="36">
        <f>E12*53.69</f>
        <v>3973.06</v>
      </c>
      <c r="F378" s="36">
        <f t="shared" si="25"/>
        <v>3774.4070000000002</v>
      </c>
      <c r="G378" s="26">
        <f t="shared" si="26"/>
        <v>3575.7539999999999</v>
      </c>
      <c r="H378" s="26">
        <f t="shared" si="27"/>
        <v>3377.1010000000001</v>
      </c>
    </row>
    <row r="379" spans="1:8" x14ac:dyDescent="0.2">
      <c r="A379" s="31">
        <f t="shared" si="24"/>
        <v>365</v>
      </c>
      <c r="B379" s="9" t="s">
        <v>1250</v>
      </c>
      <c r="C379" s="32" t="s">
        <v>2230</v>
      </c>
      <c r="D379" s="1" t="s">
        <v>2231</v>
      </c>
      <c r="E379" s="36">
        <f>E12*59.22</f>
        <v>4382.28</v>
      </c>
      <c r="F379" s="36">
        <f t="shared" si="25"/>
        <v>4163.1660000000002</v>
      </c>
      <c r="G379" s="26">
        <f t="shared" si="26"/>
        <v>3944.0519999999997</v>
      </c>
      <c r="H379" s="26">
        <f t="shared" si="27"/>
        <v>3724.9379999999996</v>
      </c>
    </row>
    <row r="380" spans="1:8" x14ac:dyDescent="0.2">
      <c r="A380" s="31">
        <f t="shared" si="24"/>
        <v>366</v>
      </c>
      <c r="B380" s="9" t="s">
        <v>1249</v>
      </c>
      <c r="C380" s="32" t="s">
        <v>2233</v>
      </c>
      <c r="D380" s="1" t="s">
        <v>2232</v>
      </c>
      <c r="E380" s="36">
        <f>E12*51.03</f>
        <v>3776.2200000000003</v>
      </c>
      <c r="F380" s="36">
        <f t="shared" si="25"/>
        <v>3587.4090000000001</v>
      </c>
      <c r="G380" s="26">
        <f t="shared" si="26"/>
        <v>3398.598</v>
      </c>
      <c r="H380" s="26">
        <f t="shared" si="27"/>
        <v>3209.7870000000003</v>
      </c>
    </row>
    <row r="381" spans="1:8" x14ac:dyDescent="0.2">
      <c r="A381" s="31">
        <f t="shared" si="24"/>
        <v>367</v>
      </c>
      <c r="B381" s="9" t="s">
        <v>1248</v>
      </c>
      <c r="C381" s="32" t="s">
        <v>2230</v>
      </c>
      <c r="D381" s="1" t="s">
        <v>2234</v>
      </c>
      <c r="E381" s="36">
        <f>E12*60.48</f>
        <v>4475.5199999999995</v>
      </c>
      <c r="F381" s="36">
        <f t="shared" si="25"/>
        <v>4251.7439999999997</v>
      </c>
      <c r="G381" s="26">
        <f t="shared" si="26"/>
        <v>4027.9679999999994</v>
      </c>
      <c r="H381" s="26">
        <f t="shared" si="27"/>
        <v>3804.1919999999996</v>
      </c>
    </row>
    <row r="382" spans="1:8" x14ac:dyDescent="0.2">
      <c r="A382" s="31">
        <f t="shared" si="24"/>
        <v>368</v>
      </c>
      <c r="B382" s="9" t="s">
        <v>464</v>
      </c>
      <c r="C382" s="32" t="s">
        <v>2236</v>
      </c>
      <c r="D382" s="1" t="s">
        <v>2235</v>
      </c>
      <c r="E382" s="36">
        <f>E12*45.7</f>
        <v>3381.8</v>
      </c>
      <c r="F382" s="36">
        <f t="shared" si="25"/>
        <v>3212.71</v>
      </c>
      <c r="G382" s="26">
        <f t="shared" si="26"/>
        <v>3043.62</v>
      </c>
      <c r="H382" s="26">
        <f t="shared" si="27"/>
        <v>2874.53</v>
      </c>
    </row>
    <row r="383" spans="1:8" x14ac:dyDescent="0.2">
      <c r="A383" s="31">
        <f t="shared" si="24"/>
        <v>369</v>
      </c>
      <c r="B383" s="9" t="s">
        <v>954</v>
      </c>
      <c r="C383" s="32" t="s">
        <v>2238</v>
      </c>
      <c r="D383" s="1" t="s">
        <v>2237</v>
      </c>
      <c r="E383" s="36">
        <f>E12*44.6</f>
        <v>3300.4</v>
      </c>
      <c r="F383" s="36">
        <f t="shared" si="25"/>
        <v>3135.38</v>
      </c>
      <c r="G383" s="26">
        <f t="shared" si="26"/>
        <v>2970.36</v>
      </c>
      <c r="H383" s="26">
        <f t="shared" si="27"/>
        <v>2805.34</v>
      </c>
    </row>
    <row r="384" spans="1:8" x14ac:dyDescent="0.2">
      <c r="A384" s="31">
        <f t="shared" si="24"/>
        <v>370</v>
      </c>
      <c r="B384" s="9" t="s">
        <v>683</v>
      </c>
      <c r="C384" s="32" t="s">
        <v>2240</v>
      </c>
      <c r="D384" s="1" t="s">
        <v>2239</v>
      </c>
      <c r="E384" s="36">
        <f>E12*39.33</f>
        <v>2910.42</v>
      </c>
      <c r="F384" s="36">
        <f t="shared" si="25"/>
        <v>2764.8989999999999</v>
      </c>
      <c r="G384" s="26">
        <f t="shared" si="26"/>
        <v>2619.3780000000002</v>
      </c>
      <c r="H384" s="26">
        <f t="shared" si="27"/>
        <v>2473.857</v>
      </c>
    </row>
    <row r="385" spans="1:8" x14ac:dyDescent="0.2">
      <c r="A385" s="31">
        <f t="shared" si="24"/>
        <v>371</v>
      </c>
      <c r="B385" s="9" t="s">
        <v>2242</v>
      </c>
      <c r="C385" s="32"/>
      <c r="D385" s="1" t="s">
        <v>2241</v>
      </c>
      <c r="E385" s="36">
        <f>E12*52.48</f>
        <v>3883.52</v>
      </c>
      <c r="F385" s="36">
        <f t="shared" si="25"/>
        <v>3689.3440000000001</v>
      </c>
      <c r="G385" s="26">
        <f t="shared" si="26"/>
        <v>3495.1680000000001</v>
      </c>
      <c r="H385" s="26">
        <f t="shared" si="27"/>
        <v>3300.9920000000002</v>
      </c>
    </row>
    <row r="386" spans="1:8" x14ac:dyDescent="0.2">
      <c r="A386" s="31">
        <f t="shared" si="24"/>
        <v>372</v>
      </c>
      <c r="B386" s="9" t="s">
        <v>465</v>
      </c>
      <c r="C386" s="32" t="s">
        <v>2244</v>
      </c>
      <c r="D386" s="1" t="s">
        <v>2243</v>
      </c>
      <c r="E386" s="36">
        <f>E12*38.55</f>
        <v>2852.7</v>
      </c>
      <c r="F386" s="36">
        <f t="shared" si="25"/>
        <v>2710.0649999999996</v>
      </c>
      <c r="G386" s="26">
        <f t="shared" si="26"/>
        <v>2567.4299999999998</v>
      </c>
      <c r="H386" s="26">
        <f t="shared" si="27"/>
        <v>2424.7950000000001</v>
      </c>
    </row>
    <row r="387" spans="1:8" x14ac:dyDescent="0.2">
      <c r="A387" s="31">
        <f t="shared" si="24"/>
        <v>373</v>
      </c>
      <c r="B387" s="9" t="s">
        <v>466</v>
      </c>
      <c r="C387" s="32" t="s">
        <v>2246</v>
      </c>
      <c r="D387" s="1" t="s">
        <v>2245</v>
      </c>
      <c r="E387" s="36">
        <f>E12*52.48</f>
        <v>3883.52</v>
      </c>
      <c r="F387" s="36">
        <f t="shared" si="25"/>
        <v>3689.3440000000001</v>
      </c>
      <c r="G387" s="26">
        <f t="shared" si="26"/>
        <v>3495.1680000000001</v>
      </c>
      <c r="H387" s="26">
        <f t="shared" si="27"/>
        <v>3300.9920000000002</v>
      </c>
    </row>
    <row r="388" spans="1:8" x14ac:dyDescent="0.2">
      <c r="A388" s="31">
        <f t="shared" si="24"/>
        <v>374</v>
      </c>
      <c r="B388" s="9" t="s">
        <v>680</v>
      </c>
      <c r="C388" s="32" t="s">
        <v>2248</v>
      </c>
      <c r="D388" s="1" t="s">
        <v>2247</v>
      </c>
      <c r="E388" s="36">
        <f>E12*24.01</f>
        <v>1776.74</v>
      </c>
      <c r="F388" s="36">
        <f t="shared" si="25"/>
        <v>1687.903</v>
      </c>
      <c r="G388" s="26">
        <f t="shared" si="26"/>
        <v>1599.066</v>
      </c>
      <c r="H388" s="26">
        <f t="shared" si="27"/>
        <v>1510.229</v>
      </c>
    </row>
    <row r="389" spans="1:8" x14ac:dyDescent="0.2">
      <c r="A389" s="31">
        <f t="shared" si="24"/>
        <v>375</v>
      </c>
      <c r="B389" s="9" t="s">
        <v>525</v>
      </c>
      <c r="C389" s="32" t="s">
        <v>2251</v>
      </c>
      <c r="D389" s="1" t="s">
        <v>467</v>
      </c>
      <c r="E389" s="36">
        <f>E12*44.45</f>
        <v>3289.3</v>
      </c>
      <c r="F389" s="36">
        <f t="shared" si="25"/>
        <v>3124.835</v>
      </c>
      <c r="G389" s="26">
        <f t="shared" si="26"/>
        <v>2960.37</v>
      </c>
      <c r="H389" s="26">
        <f t="shared" si="27"/>
        <v>2795.9050000000002</v>
      </c>
    </row>
    <row r="390" spans="1:8" x14ac:dyDescent="0.2">
      <c r="A390" s="31">
        <f t="shared" si="24"/>
        <v>376</v>
      </c>
      <c r="B390" s="9" t="s">
        <v>586</v>
      </c>
      <c r="C390" s="32" t="s">
        <v>2250</v>
      </c>
      <c r="D390" s="1" t="s">
        <v>2249</v>
      </c>
      <c r="E390" s="36">
        <f>E12*68.8</f>
        <v>5091.2</v>
      </c>
      <c r="F390" s="36">
        <f t="shared" si="25"/>
        <v>4836.6399999999994</v>
      </c>
      <c r="G390" s="26">
        <f t="shared" si="26"/>
        <v>4582.08</v>
      </c>
      <c r="H390" s="26">
        <f t="shared" si="27"/>
        <v>4327.5199999999995</v>
      </c>
    </row>
    <row r="391" spans="1:8" x14ac:dyDescent="0.2">
      <c r="A391" s="31">
        <f t="shared" si="24"/>
        <v>377</v>
      </c>
      <c r="B391" s="9" t="s">
        <v>644</v>
      </c>
      <c r="C391" s="32" t="s">
        <v>2253</v>
      </c>
      <c r="D391" s="1" t="s">
        <v>2252</v>
      </c>
      <c r="E391" s="36">
        <f>E12*47.26</f>
        <v>3497.24</v>
      </c>
      <c r="F391" s="36">
        <f t="shared" si="25"/>
        <v>3322.3779999999997</v>
      </c>
      <c r="G391" s="26">
        <f t="shared" si="26"/>
        <v>3147.5159999999996</v>
      </c>
      <c r="H391" s="26">
        <f t="shared" si="27"/>
        <v>2972.654</v>
      </c>
    </row>
    <row r="392" spans="1:8" x14ac:dyDescent="0.2">
      <c r="A392" s="31">
        <f t="shared" si="24"/>
        <v>378</v>
      </c>
      <c r="B392" s="9" t="s">
        <v>695</v>
      </c>
      <c r="C392" s="32" t="s">
        <v>2255</v>
      </c>
      <c r="D392" s="1" t="s">
        <v>2254</v>
      </c>
      <c r="E392" s="36">
        <f>E12*43.25</f>
        <v>3200.5</v>
      </c>
      <c r="F392" s="36">
        <f t="shared" si="25"/>
        <v>3040.4749999999999</v>
      </c>
      <c r="G392" s="26">
        <f t="shared" si="26"/>
        <v>2880.45</v>
      </c>
      <c r="H392" s="26">
        <f t="shared" si="27"/>
        <v>2720.4250000000002</v>
      </c>
    </row>
    <row r="393" spans="1:8" x14ac:dyDescent="0.2">
      <c r="A393" s="31">
        <f t="shared" si="24"/>
        <v>379</v>
      </c>
      <c r="B393" s="9" t="s">
        <v>442</v>
      </c>
      <c r="C393" s="32" t="s">
        <v>2258</v>
      </c>
      <c r="D393" s="1" t="s">
        <v>2257</v>
      </c>
      <c r="E393" s="36">
        <f>E12*59.88</f>
        <v>4431.12</v>
      </c>
      <c r="F393" s="36">
        <f t="shared" si="25"/>
        <v>4209.5640000000003</v>
      </c>
      <c r="G393" s="26">
        <f t="shared" si="26"/>
        <v>3988.0079999999998</v>
      </c>
      <c r="H393" s="26">
        <f t="shared" si="27"/>
        <v>3766.4519999999998</v>
      </c>
    </row>
    <row r="394" spans="1:8" x14ac:dyDescent="0.2">
      <c r="A394" s="31">
        <f t="shared" si="24"/>
        <v>380</v>
      </c>
      <c r="B394" s="9" t="s">
        <v>625</v>
      </c>
      <c r="C394" s="32" t="s">
        <v>2261</v>
      </c>
      <c r="D394" s="1" t="s">
        <v>2256</v>
      </c>
      <c r="E394" s="36">
        <f>E12*59.5</f>
        <v>4403</v>
      </c>
      <c r="F394" s="36">
        <f t="shared" si="25"/>
        <v>4182.8500000000004</v>
      </c>
      <c r="G394" s="26">
        <f t="shared" si="26"/>
        <v>3962.7</v>
      </c>
      <c r="H394" s="26">
        <f t="shared" si="27"/>
        <v>3742.55</v>
      </c>
    </row>
    <row r="395" spans="1:8" x14ac:dyDescent="0.2">
      <c r="A395" s="31">
        <f t="shared" si="24"/>
        <v>381</v>
      </c>
      <c r="B395" s="9" t="s">
        <v>932</v>
      </c>
      <c r="C395" s="32" t="s">
        <v>2260</v>
      </c>
      <c r="D395" s="1" t="s">
        <v>2259</v>
      </c>
      <c r="E395" s="36">
        <f>E12*61.05</f>
        <v>4517.7</v>
      </c>
      <c r="F395" s="36">
        <f t="shared" si="25"/>
        <v>4291.8149999999996</v>
      </c>
      <c r="G395" s="26">
        <f t="shared" si="26"/>
        <v>4065.93</v>
      </c>
      <c r="H395" s="26">
        <f t="shared" si="27"/>
        <v>3840.0450000000001</v>
      </c>
    </row>
    <row r="396" spans="1:8" x14ac:dyDescent="0.2">
      <c r="A396" s="31">
        <f t="shared" si="24"/>
        <v>382</v>
      </c>
      <c r="B396" s="9" t="s">
        <v>682</v>
      </c>
      <c r="C396" s="32" t="s">
        <v>2263</v>
      </c>
      <c r="D396" s="1" t="s">
        <v>2262</v>
      </c>
      <c r="E396" s="36">
        <f>E12*34.21</f>
        <v>2531.54</v>
      </c>
      <c r="F396" s="36">
        <f t="shared" si="25"/>
        <v>2404.9629999999997</v>
      </c>
      <c r="G396" s="26">
        <f t="shared" si="26"/>
        <v>2278.386</v>
      </c>
      <c r="H396" s="26">
        <f t="shared" si="27"/>
        <v>2151.8090000000002</v>
      </c>
    </row>
    <row r="397" spans="1:8" x14ac:dyDescent="0.2">
      <c r="A397" s="31">
        <f t="shared" si="24"/>
        <v>383</v>
      </c>
      <c r="B397" s="9" t="s">
        <v>678</v>
      </c>
      <c r="C397" s="32" t="s">
        <v>2265</v>
      </c>
      <c r="D397" s="1" t="s">
        <v>2264</v>
      </c>
      <c r="E397" s="36">
        <f>E12*54.65</f>
        <v>4044.1</v>
      </c>
      <c r="F397" s="36">
        <f t="shared" si="25"/>
        <v>3841.895</v>
      </c>
      <c r="G397" s="26">
        <f t="shared" si="26"/>
        <v>3639.69</v>
      </c>
      <c r="H397" s="26">
        <f t="shared" si="27"/>
        <v>3437.4849999999997</v>
      </c>
    </row>
    <row r="398" spans="1:8" x14ac:dyDescent="0.2">
      <c r="A398" s="31">
        <f t="shared" si="24"/>
        <v>384</v>
      </c>
      <c r="B398" s="9" t="s">
        <v>1014</v>
      </c>
      <c r="C398" s="32" t="s">
        <v>2267</v>
      </c>
      <c r="D398" s="1" t="s">
        <v>2266</v>
      </c>
      <c r="E398" s="36">
        <f>E12*65.52</f>
        <v>4848.4799999999996</v>
      </c>
      <c r="F398" s="36">
        <f t="shared" si="25"/>
        <v>4606.0559999999996</v>
      </c>
      <c r="G398" s="26">
        <f t="shared" si="26"/>
        <v>4363.6319999999996</v>
      </c>
      <c r="H398" s="26">
        <f t="shared" si="27"/>
        <v>4121.2079999999996</v>
      </c>
    </row>
    <row r="399" spans="1:8" x14ac:dyDescent="0.2">
      <c r="A399" s="31">
        <f t="shared" si="24"/>
        <v>385</v>
      </c>
      <c r="B399" s="9" t="s">
        <v>1015</v>
      </c>
      <c r="C399" s="32" t="s">
        <v>2269</v>
      </c>
      <c r="D399" s="1" t="s">
        <v>2268</v>
      </c>
      <c r="E399" s="36">
        <f>E12*65.52</f>
        <v>4848.4799999999996</v>
      </c>
      <c r="F399" s="36">
        <f t="shared" si="25"/>
        <v>4606.0559999999996</v>
      </c>
      <c r="G399" s="26">
        <f t="shared" si="26"/>
        <v>4363.6319999999996</v>
      </c>
      <c r="H399" s="26">
        <f t="shared" si="27"/>
        <v>4121.2079999999996</v>
      </c>
    </row>
    <row r="400" spans="1:8" x14ac:dyDescent="0.2">
      <c r="A400" s="31">
        <f t="shared" si="24"/>
        <v>386</v>
      </c>
      <c r="B400" s="9" t="s">
        <v>1219</v>
      </c>
      <c r="C400" s="32" t="s">
        <v>2271</v>
      </c>
      <c r="D400" s="1" t="s">
        <v>2270</v>
      </c>
      <c r="E400" s="36">
        <f>E12*58.25</f>
        <v>4310.5</v>
      </c>
      <c r="F400" s="36">
        <f t="shared" si="25"/>
        <v>4094.9749999999999</v>
      </c>
      <c r="G400" s="26">
        <f t="shared" si="26"/>
        <v>3879.45</v>
      </c>
      <c r="H400" s="26">
        <f t="shared" si="27"/>
        <v>3663.9250000000002</v>
      </c>
    </row>
    <row r="401" spans="1:8" x14ac:dyDescent="0.2">
      <c r="A401" s="31">
        <f t="shared" ref="A401:A464" si="28">A400+1</f>
        <v>387</v>
      </c>
      <c r="B401" s="9" t="s">
        <v>1218</v>
      </c>
      <c r="C401" s="32" t="s">
        <v>2273</v>
      </c>
      <c r="D401" s="1" t="s">
        <v>2272</v>
      </c>
      <c r="E401" s="36">
        <f>E12*65.52</f>
        <v>4848.4799999999996</v>
      </c>
      <c r="F401" s="36">
        <f t="shared" si="25"/>
        <v>4606.0559999999996</v>
      </c>
      <c r="G401" s="26">
        <f t="shared" si="26"/>
        <v>4363.6319999999996</v>
      </c>
      <c r="H401" s="26">
        <f t="shared" si="27"/>
        <v>4121.2079999999996</v>
      </c>
    </row>
    <row r="402" spans="1:8" x14ac:dyDescent="0.2">
      <c r="A402" s="31">
        <f t="shared" si="28"/>
        <v>388</v>
      </c>
      <c r="B402" s="9" t="s">
        <v>1064</v>
      </c>
      <c r="C402" s="32" t="s">
        <v>2275</v>
      </c>
      <c r="D402" s="1" t="s">
        <v>2274</v>
      </c>
      <c r="E402" s="36">
        <f>E12*61.9</f>
        <v>4580.5999999999995</v>
      </c>
      <c r="F402" s="36">
        <f t="shared" si="25"/>
        <v>4351.57</v>
      </c>
      <c r="G402" s="26">
        <f t="shared" si="26"/>
        <v>4122.5399999999991</v>
      </c>
      <c r="H402" s="26">
        <f t="shared" si="27"/>
        <v>3893.5099999999993</v>
      </c>
    </row>
    <row r="403" spans="1:8" x14ac:dyDescent="0.2">
      <c r="A403" s="31">
        <f t="shared" si="28"/>
        <v>389</v>
      </c>
      <c r="B403" s="9" t="s">
        <v>643</v>
      </c>
      <c r="C403" s="32" t="s">
        <v>2277</v>
      </c>
      <c r="D403" s="1" t="s">
        <v>2276</v>
      </c>
      <c r="E403" s="36">
        <f>E12*36.1</f>
        <v>2671.4</v>
      </c>
      <c r="F403" s="36">
        <f t="shared" si="25"/>
        <v>2537.83</v>
      </c>
      <c r="G403" s="26">
        <f t="shared" si="26"/>
        <v>2404.2600000000002</v>
      </c>
      <c r="H403" s="26">
        <f t="shared" si="27"/>
        <v>2270.69</v>
      </c>
    </row>
    <row r="404" spans="1:8" x14ac:dyDescent="0.2">
      <c r="A404" s="31">
        <f t="shared" si="28"/>
        <v>390</v>
      </c>
      <c r="B404" s="9" t="s">
        <v>826</v>
      </c>
      <c r="C404" s="32" t="s">
        <v>2279</v>
      </c>
      <c r="D404" s="1" t="s">
        <v>2278</v>
      </c>
      <c r="E404" s="36">
        <v>3715</v>
      </c>
      <c r="F404" s="36">
        <f t="shared" si="25"/>
        <v>3529.25</v>
      </c>
      <c r="G404" s="26">
        <f t="shared" si="26"/>
        <v>3343.5</v>
      </c>
      <c r="H404" s="26">
        <f t="shared" si="27"/>
        <v>3157.75</v>
      </c>
    </row>
    <row r="405" spans="1:8" x14ac:dyDescent="0.2">
      <c r="A405" s="31">
        <f t="shared" si="28"/>
        <v>391</v>
      </c>
      <c r="B405" s="9" t="s">
        <v>674</v>
      </c>
      <c r="C405" s="32" t="s">
        <v>2281</v>
      </c>
      <c r="D405" s="1" t="s">
        <v>2280</v>
      </c>
      <c r="E405" s="36">
        <f>E12*32.01</f>
        <v>2368.7399999999998</v>
      </c>
      <c r="F405" s="36">
        <f t="shared" si="25"/>
        <v>2250.3029999999999</v>
      </c>
      <c r="G405" s="26">
        <f t="shared" si="26"/>
        <v>2131.866</v>
      </c>
      <c r="H405" s="26">
        <f t="shared" si="27"/>
        <v>2013.4289999999999</v>
      </c>
    </row>
    <row r="406" spans="1:8" x14ac:dyDescent="0.2">
      <c r="A406" s="31">
        <f t="shared" si="28"/>
        <v>392</v>
      </c>
      <c r="B406" s="9" t="s">
        <v>657</v>
      </c>
      <c r="C406" s="32" t="s">
        <v>2283</v>
      </c>
      <c r="D406" s="1" t="s">
        <v>2282</v>
      </c>
      <c r="E406" s="36">
        <f>E12*40.03</f>
        <v>2962.2200000000003</v>
      </c>
      <c r="F406" s="36">
        <f t="shared" si="25"/>
        <v>2814.1090000000004</v>
      </c>
      <c r="G406" s="26">
        <f t="shared" si="26"/>
        <v>2665.998</v>
      </c>
      <c r="H406" s="26">
        <f t="shared" si="27"/>
        <v>2517.8870000000002</v>
      </c>
    </row>
    <row r="407" spans="1:8" x14ac:dyDescent="0.2">
      <c r="A407" s="31">
        <f t="shared" si="28"/>
        <v>393</v>
      </c>
      <c r="B407" s="9" t="s">
        <v>645</v>
      </c>
      <c r="C407" s="32" t="s">
        <v>2285</v>
      </c>
      <c r="D407" s="1" t="s">
        <v>2284</v>
      </c>
      <c r="E407" s="36">
        <f>E12*46.75</f>
        <v>3459.5</v>
      </c>
      <c r="F407" s="36">
        <f t="shared" si="25"/>
        <v>3286.5250000000001</v>
      </c>
      <c r="G407" s="26">
        <f t="shared" si="26"/>
        <v>3113.55</v>
      </c>
      <c r="H407" s="26">
        <f t="shared" si="27"/>
        <v>2940.5749999999998</v>
      </c>
    </row>
    <row r="408" spans="1:8" x14ac:dyDescent="0.2">
      <c r="A408" s="31">
        <f t="shared" si="28"/>
        <v>394</v>
      </c>
      <c r="B408" s="9" t="s">
        <v>660</v>
      </c>
      <c r="C408" s="32" t="s">
        <v>2287</v>
      </c>
      <c r="D408" s="1" t="s">
        <v>2286</v>
      </c>
      <c r="E408" s="36">
        <f>E12*35.23</f>
        <v>2607.02</v>
      </c>
      <c r="F408" s="36">
        <f t="shared" si="25"/>
        <v>2476.6689999999999</v>
      </c>
      <c r="G408" s="26">
        <f t="shared" si="26"/>
        <v>2346.3180000000002</v>
      </c>
      <c r="H408" s="26">
        <f t="shared" si="27"/>
        <v>2215.9670000000001</v>
      </c>
    </row>
    <row r="409" spans="1:8" x14ac:dyDescent="0.2">
      <c r="A409" s="31">
        <f t="shared" si="28"/>
        <v>395</v>
      </c>
      <c r="B409" s="9" t="s">
        <v>662</v>
      </c>
      <c r="C409" s="32" t="s">
        <v>2289</v>
      </c>
      <c r="D409" s="1" t="s">
        <v>2288</v>
      </c>
      <c r="E409" s="36">
        <f>E12*33.2</f>
        <v>2456.8000000000002</v>
      </c>
      <c r="F409" s="36">
        <f t="shared" si="25"/>
        <v>2333.96</v>
      </c>
      <c r="G409" s="26">
        <f t="shared" si="26"/>
        <v>2211.1200000000003</v>
      </c>
      <c r="H409" s="26">
        <f t="shared" si="27"/>
        <v>2088.2800000000002</v>
      </c>
    </row>
    <row r="410" spans="1:8" x14ac:dyDescent="0.2">
      <c r="A410" s="31">
        <f t="shared" si="28"/>
        <v>396</v>
      </c>
      <c r="B410" s="9" t="s">
        <v>691</v>
      </c>
      <c r="C410" s="32" t="s">
        <v>2291</v>
      </c>
      <c r="D410" s="1" t="s">
        <v>2290</v>
      </c>
      <c r="E410" s="36">
        <f>E12*31.81</f>
        <v>2353.94</v>
      </c>
      <c r="F410" s="36">
        <f t="shared" si="25"/>
        <v>2236.2429999999999</v>
      </c>
      <c r="G410" s="26">
        <f t="shared" si="26"/>
        <v>2118.5460000000003</v>
      </c>
      <c r="H410" s="26">
        <f t="shared" si="27"/>
        <v>2000.8490000000002</v>
      </c>
    </row>
    <row r="411" spans="1:8" x14ac:dyDescent="0.2">
      <c r="A411" s="31">
        <f t="shared" si="28"/>
        <v>397</v>
      </c>
      <c r="B411" s="9" t="s">
        <v>690</v>
      </c>
      <c r="C411" s="32" t="s">
        <v>2293</v>
      </c>
      <c r="D411" s="1" t="s">
        <v>2292</v>
      </c>
      <c r="E411" s="36">
        <f>E12*37.35</f>
        <v>2763.9</v>
      </c>
      <c r="F411" s="36">
        <f t="shared" si="25"/>
        <v>2625.7049999999999</v>
      </c>
      <c r="G411" s="26">
        <f t="shared" si="26"/>
        <v>2487.5100000000002</v>
      </c>
      <c r="H411" s="26">
        <f t="shared" si="27"/>
        <v>2349.3150000000001</v>
      </c>
    </row>
    <row r="412" spans="1:8" x14ac:dyDescent="0.2">
      <c r="A412" s="31">
        <f t="shared" si="28"/>
        <v>398</v>
      </c>
      <c r="B412" s="9" t="s">
        <v>689</v>
      </c>
      <c r="C412" s="32" t="s">
        <v>2295</v>
      </c>
      <c r="D412" s="1" t="s">
        <v>2294</v>
      </c>
      <c r="E412" s="36">
        <f>E12*33.2</f>
        <v>2456.8000000000002</v>
      </c>
      <c r="F412" s="36">
        <f t="shared" si="25"/>
        <v>2333.96</v>
      </c>
      <c r="G412" s="26">
        <f t="shared" si="26"/>
        <v>2211.1200000000003</v>
      </c>
      <c r="H412" s="26">
        <f t="shared" si="27"/>
        <v>2088.2800000000002</v>
      </c>
    </row>
    <row r="413" spans="1:8" x14ac:dyDescent="0.2">
      <c r="A413" s="31">
        <f t="shared" si="28"/>
        <v>399</v>
      </c>
      <c r="B413" s="9" t="s">
        <v>692</v>
      </c>
      <c r="C413" s="32" t="s">
        <v>2297</v>
      </c>
      <c r="D413" s="1" t="s">
        <v>2296</v>
      </c>
      <c r="E413" s="36">
        <f>E12*34.58</f>
        <v>2558.92</v>
      </c>
      <c r="F413" s="36">
        <f t="shared" si="25"/>
        <v>2430.9740000000002</v>
      </c>
      <c r="G413" s="26">
        <f t="shared" si="26"/>
        <v>2303.0280000000002</v>
      </c>
      <c r="H413" s="26">
        <f t="shared" si="27"/>
        <v>2175.0819999999999</v>
      </c>
    </row>
    <row r="414" spans="1:8" x14ac:dyDescent="0.2">
      <c r="A414" s="31">
        <f t="shared" si="28"/>
        <v>400</v>
      </c>
      <c r="B414" s="9" t="s">
        <v>694</v>
      </c>
      <c r="C414" s="32" t="s">
        <v>2299</v>
      </c>
      <c r="D414" s="1" t="s">
        <v>2298</v>
      </c>
      <c r="E414" s="36">
        <f>E12*37.35</f>
        <v>2763.9</v>
      </c>
      <c r="F414" s="36">
        <f t="shared" si="25"/>
        <v>2625.7049999999999</v>
      </c>
      <c r="G414" s="26">
        <f t="shared" si="26"/>
        <v>2487.5100000000002</v>
      </c>
      <c r="H414" s="26">
        <f t="shared" si="27"/>
        <v>2349.3150000000001</v>
      </c>
    </row>
    <row r="415" spans="1:8" x14ac:dyDescent="0.2">
      <c r="A415" s="31">
        <f t="shared" si="28"/>
        <v>401</v>
      </c>
      <c r="B415" s="9" t="s">
        <v>658</v>
      </c>
      <c r="C415" s="32" t="s">
        <v>2301</v>
      </c>
      <c r="D415" s="1" t="s">
        <v>2300</v>
      </c>
      <c r="E415" s="36">
        <f>E12*33.2</f>
        <v>2456.8000000000002</v>
      </c>
      <c r="F415" s="36">
        <f t="shared" si="25"/>
        <v>2333.96</v>
      </c>
      <c r="G415" s="26">
        <f t="shared" si="26"/>
        <v>2211.1200000000003</v>
      </c>
      <c r="H415" s="26">
        <f t="shared" si="27"/>
        <v>2088.2800000000002</v>
      </c>
    </row>
    <row r="416" spans="1:8" x14ac:dyDescent="0.2">
      <c r="A416" s="31">
        <f t="shared" si="28"/>
        <v>402</v>
      </c>
      <c r="B416" s="9" t="s">
        <v>659</v>
      </c>
      <c r="C416" s="32" t="s">
        <v>2303</v>
      </c>
      <c r="D416" s="1" t="s">
        <v>2302</v>
      </c>
      <c r="E416" s="36">
        <f>E12*41.5</f>
        <v>3071</v>
      </c>
      <c r="F416" s="36">
        <f t="shared" si="25"/>
        <v>2917.45</v>
      </c>
      <c r="G416" s="26">
        <f t="shared" si="26"/>
        <v>2763.9</v>
      </c>
      <c r="H416" s="26">
        <f t="shared" si="27"/>
        <v>2610.35</v>
      </c>
    </row>
    <row r="417" spans="1:8" x14ac:dyDescent="0.2">
      <c r="A417" s="31">
        <f t="shared" si="28"/>
        <v>403</v>
      </c>
      <c r="B417" s="9" t="s">
        <v>661</v>
      </c>
      <c r="C417" s="32" t="s">
        <v>2305</v>
      </c>
      <c r="D417" s="1" t="s">
        <v>2304</v>
      </c>
      <c r="E417" s="36">
        <f>E12*45.88</f>
        <v>3395.1200000000003</v>
      </c>
      <c r="F417" s="36">
        <f t="shared" si="25"/>
        <v>3225.3640000000005</v>
      </c>
      <c r="G417" s="26">
        <f t="shared" si="26"/>
        <v>3055.6080000000002</v>
      </c>
      <c r="H417" s="26">
        <f t="shared" si="27"/>
        <v>2885.8520000000003</v>
      </c>
    </row>
    <row r="418" spans="1:8" x14ac:dyDescent="0.2">
      <c r="A418" s="31">
        <f t="shared" si="28"/>
        <v>404</v>
      </c>
      <c r="B418" s="9" t="s">
        <v>971</v>
      </c>
      <c r="C418" s="32" t="s">
        <v>2307</v>
      </c>
      <c r="D418" s="1" t="s">
        <v>2306</v>
      </c>
      <c r="E418" s="36">
        <f>E12*30.43</f>
        <v>2251.8200000000002</v>
      </c>
      <c r="F418" s="36">
        <f t="shared" ref="F418:F471" si="29">E418-E418*5%</f>
        <v>2139.2290000000003</v>
      </c>
      <c r="G418" s="26">
        <f t="shared" ref="G418:G471" si="30">E418-E418*10%</f>
        <v>2026.6380000000001</v>
      </c>
      <c r="H418" s="26">
        <f t="shared" ref="H418:H471" si="31">E418-E418*15%</f>
        <v>1914.047</v>
      </c>
    </row>
    <row r="419" spans="1:8" x14ac:dyDescent="0.2">
      <c r="A419" s="31">
        <f t="shared" si="28"/>
        <v>405</v>
      </c>
      <c r="B419" s="9" t="s">
        <v>684</v>
      </c>
      <c r="C419" s="32" t="s">
        <v>2309</v>
      </c>
      <c r="D419" s="1" t="s">
        <v>2308</v>
      </c>
      <c r="E419" s="36">
        <f>E12*18.26</f>
        <v>1351.24</v>
      </c>
      <c r="F419" s="36">
        <f t="shared" si="29"/>
        <v>1283.6780000000001</v>
      </c>
      <c r="G419" s="26">
        <f t="shared" si="30"/>
        <v>1216.116</v>
      </c>
      <c r="H419" s="26">
        <f t="shared" si="31"/>
        <v>1148.5540000000001</v>
      </c>
    </row>
    <row r="420" spans="1:8" x14ac:dyDescent="0.2">
      <c r="A420" s="31">
        <f t="shared" si="28"/>
        <v>406</v>
      </c>
      <c r="B420" s="9" t="s">
        <v>681</v>
      </c>
      <c r="C420" s="32" t="s">
        <v>2311</v>
      </c>
      <c r="D420" s="1" t="s">
        <v>2310</v>
      </c>
      <c r="E420" s="36">
        <f>E12*35.96</f>
        <v>2661.04</v>
      </c>
      <c r="F420" s="36">
        <f t="shared" si="29"/>
        <v>2527.9879999999998</v>
      </c>
      <c r="G420" s="26">
        <f t="shared" si="30"/>
        <v>2394.9360000000001</v>
      </c>
      <c r="H420" s="26">
        <f t="shared" si="31"/>
        <v>2261.884</v>
      </c>
    </row>
    <row r="421" spans="1:8" x14ac:dyDescent="0.2">
      <c r="A421" s="31">
        <f t="shared" si="28"/>
        <v>407</v>
      </c>
      <c r="B421" s="9" t="s">
        <v>685</v>
      </c>
      <c r="C421" s="32" t="s">
        <v>2313</v>
      </c>
      <c r="D421" s="1" t="s">
        <v>2312</v>
      </c>
      <c r="E421" s="36">
        <f>E12*59.25</f>
        <v>4384.5</v>
      </c>
      <c r="F421" s="36">
        <f t="shared" si="29"/>
        <v>4165.2749999999996</v>
      </c>
      <c r="G421" s="26">
        <f t="shared" si="30"/>
        <v>3946.05</v>
      </c>
      <c r="H421" s="26">
        <f t="shared" si="31"/>
        <v>3726.8249999999998</v>
      </c>
    </row>
    <row r="422" spans="1:8" x14ac:dyDescent="0.2">
      <c r="A422" s="31">
        <f t="shared" si="28"/>
        <v>408</v>
      </c>
      <c r="B422" s="9" t="s">
        <v>673</v>
      </c>
      <c r="C422" s="32" t="s">
        <v>2314</v>
      </c>
      <c r="D422" s="1" t="s">
        <v>2245</v>
      </c>
      <c r="E422" s="36">
        <f>E12*52.48</f>
        <v>3883.52</v>
      </c>
      <c r="F422" s="36">
        <f t="shared" si="29"/>
        <v>3689.3440000000001</v>
      </c>
      <c r="G422" s="26">
        <f t="shared" si="30"/>
        <v>3495.1680000000001</v>
      </c>
      <c r="H422" s="26">
        <f t="shared" si="31"/>
        <v>3300.9920000000002</v>
      </c>
    </row>
    <row r="423" spans="1:8" x14ac:dyDescent="0.2">
      <c r="A423" s="31">
        <f t="shared" si="28"/>
        <v>409</v>
      </c>
      <c r="B423" s="9" t="s">
        <v>693</v>
      </c>
      <c r="C423" s="32" t="s">
        <v>2316</v>
      </c>
      <c r="D423" s="1" t="s">
        <v>2315</v>
      </c>
      <c r="E423" s="36">
        <f>E12*57.35</f>
        <v>4243.9000000000005</v>
      </c>
      <c r="F423" s="36">
        <f t="shared" si="29"/>
        <v>4031.7050000000004</v>
      </c>
      <c r="G423" s="26">
        <f t="shared" si="30"/>
        <v>3819.51</v>
      </c>
      <c r="H423" s="26">
        <f t="shared" si="31"/>
        <v>3607.3150000000005</v>
      </c>
    </row>
    <row r="424" spans="1:8" x14ac:dyDescent="0.2">
      <c r="A424" s="31">
        <f t="shared" si="28"/>
        <v>410</v>
      </c>
      <c r="B424" s="9" t="s">
        <v>718</v>
      </c>
      <c r="C424" s="32" t="s">
        <v>2318</v>
      </c>
      <c r="D424" s="1" t="s">
        <v>2317</v>
      </c>
      <c r="E424" s="36">
        <f>E12*45.88</f>
        <v>3395.1200000000003</v>
      </c>
      <c r="F424" s="36">
        <f t="shared" si="29"/>
        <v>3225.3640000000005</v>
      </c>
      <c r="G424" s="26">
        <f t="shared" si="30"/>
        <v>3055.6080000000002</v>
      </c>
      <c r="H424" s="26">
        <f t="shared" si="31"/>
        <v>2885.8520000000003</v>
      </c>
    </row>
    <row r="425" spans="1:8" x14ac:dyDescent="0.2">
      <c r="A425" s="31">
        <f t="shared" si="28"/>
        <v>411</v>
      </c>
      <c r="B425" s="9" t="s">
        <v>805</v>
      </c>
      <c r="C425" s="32" t="s">
        <v>2320</v>
      </c>
      <c r="D425" s="1" t="s">
        <v>2319</v>
      </c>
      <c r="E425" s="36">
        <f>E12*34.58</f>
        <v>2558.92</v>
      </c>
      <c r="F425" s="36">
        <f t="shared" si="29"/>
        <v>2430.9740000000002</v>
      </c>
      <c r="G425" s="26">
        <f t="shared" si="30"/>
        <v>2303.0280000000002</v>
      </c>
      <c r="H425" s="26">
        <f t="shared" si="31"/>
        <v>2175.0819999999999</v>
      </c>
    </row>
    <row r="426" spans="1:8" x14ac:dyDescent="0.2">
      <c r="A426" s="31">
        <f t="shared" si="28"/>
        <v>412</v>
      </c>
      <c r="B426" s="9" t="s">
        <v>1069</v>
      </c>
      <c r="C426" s="32">
        <v>4333003854</v>
      </c>
      <c r="D426" s="1" t="s">
        <v>2321</v>
      </c>
      <c r="E426" s="36">
        <f>E12*2.43</f>
        <v>179.82000000000002</v>
      </c>
      <c r="F426" s="36">
        <f t="shared" si="29"/>
        <v>170.82900000000001</v>
      </c>
      <c r="G426" s="26">
        <f t="shared" si="30"/>
        <v>161.83800000000002</v>
      </c>
      <c r="H426" s="26">
        <f t="shared" si="31"/>
        <v>152.84700000000001</v>
      </c>
    </row>
    <row r="427" spans="1:8" x14ac:dyDescent="0.2">
      <c r="A427" s="31">
        <f t="shared" si="28"/>
        <v>413</v>
      </c>
      <c r="B427" s="9" t="s">
        <v>1202</v>
      </c>
      <c r="C427" s="32"/>
      <c r="D427" s="1" t="s">
        <v>480</v>
      </c>
      <c r="E427" s="36">
        <f>E12*2.08</f>
        <v>153.92000000000002</v>
      </c>
      <c r="F427" s="36">
        <f t="shared" si="29"/>
        <v>146.22400000000002</v>
      </c>
      <c r="G427" s="26">
        <f t="shared" si="30"/>
        <v>138.52800000000002</v>
      </c>
      <c r="H427" s="26">
        <f t="shared" si="31"/>
        <v>130.83200000000002</v>
      </c>
    </row>
    <row r="428" spans="1:8" x14ac:dyDescent="0.2">
      <c r="A428" s="31">
        <f t="shared" si="28"/>
        <v>414</v>
      </c>
      <c r="B428" s="9" t="s">
        <v>173</v>
      </c>
      <c r="C428" s="32"/>
      <c r="D428" s="1" t="s">
        <v>18</v>
      </c>
      <c r="E428" s="36">
        <f>E12*1.5</f>
        <v>111</v>
      </c>
      <c r="F428" s="36">
        <f t="shared" si="29"/>
        <v>105.45</v>
      </c>
      <c r="G428" s="26">
        <f t="shared" si="30"/>
        <v>99.9</v>
      </c>
      <c r="H428" s="26">
        <f t="shared" si="31"/>
        <v>94.35</v>
      </c>
    </row>
    <row r="429" spans="1:8" x14ac:dyDescent="0.2">
      <c r="A429" s="31">
        <f t="shared" si="28"/>
        <v>415</v>
      </c>
      <c r="B429" s="9" t="s">
        <v>1194</v>
      </c>
      <c r="C429" s="32"/>
      <c r="D429" s="1" t="s">
        <v>19</v>
      </c>
      <c r="E429" s="36">
        <f>E12*1.55</f>
        <v>114.7</v>
      </c>
      <c r="F429" s="36">
        <f t="shared" si="29"/>
        <v>108.965</v>
      </c>
      <c r="G429" s="26">
        <f t="shared" si="30"/>
        <v>103.23</v>
      </c>
      <c r="H429" s="26">
        <f t="shared" si="31"/>
        <v>97.495000000000005</v>
      </c>
    </row>
    <row r="430" spans="1:8" x14ac:dyDescent="0.2">
      <c r="A430" s="31">
        <f t="shared" si="28"/>
        <v>416</v>
      </c>
      <c r="B430" s="9" t="s">
        <v>1173</v>
      </c>
      <c r="C430" s="32"/>
      <c r="D430" s="1" t="s">
        <v>20</v>
      </c>
      <c r="E430" s="36">
        <f>E12*1.65</f>
        <v>122.1</v>
      </c>
      <c r="F430" s="36">
        <f t="shared" si="29"/>
        <v>115.99499999999999</v>
      </c>
      <c r="G430" s="26">
        <f t="shared" si="30"/>
        <v>109.88999999999999</v>
      </c>
      <c r="H430" s="26">
        <f t="shared" si="31"/>
        <v>103.785</v>
      </c>
    </row>
    <row r="431" spans="1:8" x14ac:dyDescent="0.2">
      <c r="A431" s="31">
        <f t="shared" si="28"/>
        <v>417</v>
      </c>
      <c r="B431" s="9" t="s">
        <v>111</v>
      </c>
      <c r="C431" s="32"/>
      <c r="D431" s="1" t="s">
        <v>21</v>
      </c>
      <c r="E431" s="36">
        <f>E12*1.91</f>
        <v>141.34</v>
      </c>
      <c r="F431" s="36">
        <f t="shared" si="29"/>
        <v>134.273</v>
      </c>
      <c r="G431" s="26">
        <f t="shared" si="30"/>
        <v>127.206</v>
      </c>
      <c r="H431" s="26">
        <f t="shared" si="31"/>
        <v>120.13900000000001</v>
      </c>
    </row>
    <row r="432" spans="1:8" x14ac:dyDescent="0.2">
      <c r="A432" s="31">
        <f t="shared" si="28"/>
        <v>418</v>
      </c>
      <c r="B432" s="9" t="s">
        <v>174</v>
      </c>
      <c r="C432" s="32"/>
      <c r="D432" s="1" t="s">
        <v>22</v>
      </c>
      <c r="E432" s="36">
        <f>E12*2.36</f>
        <v>174.64</v>
      </c>
      <c r="F432" s="36">
        <f t="shared" si="29"/>
        <v>165.90799999999999</v>
      </c>
      <c r="G432" s="26">
        <f t="shared" si="30"/>
        <v>157.17599999999999</v>
      </c>
      <c r="H432" s="26">
        <f t="shared" si="31"/>
        <v>148.44399999999999</v>
      </c>
    </row>
    <row r="433" spans="1:8" x14ac:dyDescent="0.2">
      <c r="A433" s="31">
        <f t="shared" si="28"/>
        <v>419</v>
      </c>
      <c r="B433" s="9" t="s">
        <v>175</v>
      </c>
      <c r="C433" s="32"/>
      <c r="D433" s="1" t="s">
        <v>23</v>
      </c>
      <c r="E433" s="36">
        <f>E12*2.55</f>
        <v>188.7</v>
      </c>
      <c r="F433" s="36">
        <f t="shared" si="29"/>
        <v>179.26499999999999</v>
      </c>
      <c r="G433" s="26">
        <f t="shared" si="30"/>
        <v>169.82999999999998</v>
      </c>
      <c r="H433" s="26">
        <f t="shared" si="31"/>
        <v>160.39499999999998</v>
      </c>
    </row>
    <row r="434" spans="1:8" x14ac:dyDescent="0.2">
      <c r="A434" s="31">
        <f t="shared" si="28"/>
        <v>420</v>
      </c>
      <c r="B434" s="9" t="s">
        <v>2324</v>
      </c>
      <c r="C434" s="32" t="s">
        <v>2323</v>
      </c>
      <c r="D434" s="1" t="s">
        <v>2322</v>
      </c>
      <c r="E434" s="36">
        <f>E12*4.12</f>
        <v>304.88</v>
      </c>
      <c r="F434" s="36">
        <f t="shared" si="29"/>
        <v>289.63599999999997</v>
      </c>
      <c r="G434" s="26">
        <f t="shared" si="30"/>
        <v>274.392</v>
      </c>
      <c r="H434" s="26">
        <f t="shared" si="31"/>
        <v>259.14800000000002</v>
      </c>
    </row>
    <row r="435" spans="1:8" x14ac:dyDescent="0.2">
      <c r="A435" s="31">
        <f t="shared" si="28"/>
        <v>421</v>
      </c>
      <c r="B435" s="9" t="s">
        <v>2327</v>
      </c>
      <c r="C435" s="32" t="s">
        <v>2326</v>
      </c>
      <c r="D435" s="1" t="s">
        <v>2325</v>
      </c>
      <c r="E435" s="36">
        <f>E12*4.12</f>
        <v>304.88</v>
      </c>
      <c r="F435" s="36">
        <f t="shared" si="29"/>
        <v>289.63599999999997</v>
      </c>
      <c r="G435" s="26">
        <f t="shared" si="30"/>
        <v>274.392</v>
      </c>
      <c r="H435" s="26">
        <f t="shared" si="31"/>
        <v>259.14800000000002</v>
      </c>
    </row>
    <row r="436" spans="1:8" x14ac:dyDescent="0.2">
      <c r="A436" s="31">
        <f t="shared" si="28"/>
        <v>422</v>
      </c>
      <c r="B436" s="9" t="s">
        <v>2330</v>
      </c>
      <c r="C436" s="32" t="s">
        <v>2329</v>
      </c>
      <c r="D436" s="1" t="s">
        <v>2328</v>
      </c>
      <c r="E436" s="36">
        <f>E12*4.97</f>
        <v>367.78</v>
      </c>
      <c r="F436" s="36">
        <f t="shared" si="29"/>
        <v>349.39099999999996</v>
      </c>
      <c r="G436" s="26">
        <f t="shared" si="30"/>
        <v>331.00199999999995</v>
      </c>
      <c r="H436" s="26">
        <f t="shared" si="31"/>
        <v>312.613</v>
      </c>
    </row>
    <row r="437" spans="1:8" x14ac:dyDescent="0.2">
      <c r="A437" s="31">
        <f t="shared" si="28"/>
        <v>423</v>
      </c>
      <c r="B437" s="9" t="s">
        <v>2333</v>
      </c>
      <c r="C437" s="32" t="s">
        <v>2332</v>
      </c>
      <c r="D437" s="1" t="s">
        <v>2331</v>
      </c>
      <c r="E437" s="36">
        <f>E12*12.45</f>
        <v>921.3</v>
      </c>
      <c r="F437" s="36">
        <f t="shared" si="29"/>
        <v>875.2349999999999</v>
      </c>
      <c r="G437" s="26">
        <f t="shared" si="30"/>
        <v>829.17</v>
      </c>
      <c r="H437" s="26">
        <f t="shared" si="31"/>
        <v>783.10500000000002</v>
      </c>
    </row>
    <row r="438" spans="1:8" x14ac:dyDescent="0.2">
      <c r="A438" s="31">
        <f t="shared" si="28"/>
        <v>424</v>
      </c>
      <c r="B438" s="9" t="s">
        <v>2336</v>
      </c>
      <c r="C438" s="32" t="s">
        <v>2335</v>
      </c>
      <c r="D438" s="1" t="s">
        <v>2334</v>
      </c>
      <c r="E438" s="36">
        <f>E12*12.45</f>
        <v>921.3</v>
      </c>
      <c r="F438" s="36">
        <f t="shared" si="29"/>
        <v>875.2349999999999</v>
      </c>
      <c r="G438" s="26">
        <f t="shared" si="30"/>
        <v>829.17</v>
      </c>
      <c r="H438" s="26">
        <f t="shared" si="31"/>
        <v>783.10500000000002</v>
      </c>
    </row>
    <row r="439" spans="1:8" x14ac:dyDescent="0.2">
      <c r="A439" s="31">
        <f t="shared" si="28"/>
        <v>425</v>
      </c>
      <c r="B439" s="9" t="s">
        <v>2338</v>
      </c>
      <c r="C439" s="32">
        <v>81953016234</v>
      </c>
      <c r="D439" s="1" t="s">
        <v>2337</v>
      </c>
      <c r="E439" s="36">
        <f>E12*13.28</f>
        <v>982.71999999999991</v>
      </c>
      <c r="F439" s="36">
        <f t="shared" si="29"/>
        <v>933.58399999999995</v>
      </c>
      <c r="G439" s="26">
        <f t="shared" si="30"/>
        <v>884.44799999999987</v>
      </c>
      <c r="H439" s="26">
        <f t="shared" si="31"/>
        <v>835.3119999999999</v>
      </c>
    </row>
    <row r="440" spans="1:8" x14ac:dyDescent="0.2">
      <c r="A440" s="31">
        <f t="shared" si="28"/>
        <v>426</v>
      </c>
      <c r="B440" s="9" t="s">
        <v>2341</v>
      </c>
      <c r="C440" s="32" t="s">
        <v>2340</v>
      </c>
      <c r="D440" s="1" t="s">
        <v>2339</v>
      </c>
      <c r="E440" s="36">
        <f>E12*13.28</f>
        <v>982.71999999999991</v>
      </c>
      <c r="F440" s="36">
        <f t="shared" si="29"/>
        <v>933.58399999999995</v>
      </c>
      <c r="G440" s="26">
        <f t="shared" si="30"/>
        <v>884.44799999999987</v>
      </c>
      <c r="H440" s="26">
        <f t="shared" si="31"/>
        <v>835.3119999999999</v>
      </c>
    </row>
    <row r="441" spans="1:8" x14ac:dyDescent="0.2">
      <c r="A441" s="31">
        <f t="shared" si="28"/>
        <v>427</v>
      </c>
      <c r="B441" s="9" t="s">
        <v>2344</v>
      </c>
      <c r="C441" s="32" t="s">
        <v>2343</v>
      </c>
      <c r="D441" s="1" t="s">
        <v>2342</v>
      </c>
      <c r="E441" s="36">
        <f>E12*9.61</f>
        <v>711.14</v>
      </c>
      <c r="F441" s="36">
        <f t="shared" si="29"/>
        <v>675.58299999999997</v>
      </c>
      <c r="G441" s="26">
        <f t="shared" si="30"/>
        <v>640.02599999999995</v>
      </c>
      <c r="H441" s="26">
        <f t="shared" si="31"/>
        <v>604.46900000000005</v>
      </c>
    </row>
    <row r="442" spans="1:8" x14ac:dyDescent="0.2">
      <c r="A442" s="31">
        <f t="shared" si="28"/>
        <v>428</v>
      </c>
      <c r="B442" s="9" t="s">
        <v>2347</v>
      </c>
      <c r="C442" s="32" t="s">
        <v>2346</v>
      </c>
      <c r="D442" s="1" t="s">
        <v>2345</v>
      </c>
      <c r="E442" s="36">
        <f>E12*9.61</f>
        <v>711.14</v>
      </c>
      <c r="F442" s="36">
        <f t="shared" si="29"/>
        <v>675.58299999999997</v>
      </c>
      <c r="G442" s="26">
        <f t="shared" si="30"/>
        <v>640.02599999999995</v>
      </c>
      <c r="H442" s="26">
        <f t="shared" si="31"/>
        <v>604.46900000000005</v>
      </c>
    </row>
    <row r="443" spans="1:8" x14ac:dyDescent="0.2">
      <c r="A443" s="31">
        <f t="shared" si="28"/>
        <v>429</v>
      </c>
      <c r="B443" s="9" t="s">
        <v>2350</v>
      </c>
      <c r="C443" s="32" t="s">
        <v>2349</v>
      </c>
      <c r="D443" s="1" t="s">
        <v>2348</v>
      </c>
      <c r="E443" s="36">
        <f>E12*16.73</f>
        <v>1238.02</v>
      </c>
      <c r="F443" s="36">
        <f t="shared" si="29"/>
        <v>1176.1189999999999</v>
      </c>
      <c r="G443" s="26">
        <f t="shared" si="30"/>
        <v>1114.2180000000001</v>
      </c>
      <c r="H443" s="26">
        <f t="shared" si="31"/>
        <v>1052.317</v>
      </c>
    </row>
    <row r="444" spans="1:8" x14ac:dyDescent="0.2">
      <c r="A444" s="31">
        <f t="shared" si="28"/>
        <v>430</v>
      </c>
      <c r="B444" s="9" t="s">
        <v>2353</v>
      </c>
      <c r="C444" s="32" t="s">
        <v>2352</v>
      </c>
      <c r="D444" s="1" t="s">
        <v>2351</v>
      </c>
      <c r="E444" s="36">
        <f>E12*16.73</f>
        <v>1238.02</v>
      </c>
      <c r="F444" s="36">
        <f t="shared" si="29"/>
        <v>1176.1189999999999</v>
      </c>
      <c r="G444" s="26">
        <f t="shared" si="30"/>
        <v>1114.2180000000001</v>
      </c>
      <c r="H444" s="26">
        <f t="shared" si="31"/>
        <v>1052.317</v>
      </c>
    </row>
    <row r="445" spans="1:8" x14ac:dyDescent="0.2">
      <c r="A445" s="31">
        <f t="shared" si="28"/>
        <v>431</v>
      </c>
      <c r="B445" s="9" t="s">
        <v>2355</v>
      </c>
      <c r="C445" s="32">
        <v>6851523000</v>
      </c>
      <c r="D445" s="1" t="s">
        <v>2354</v>
      </c>
      <c r="E445" s="36">
        <f>E12*15</f>
        <v>1110</v>
      </c>
      <c r="F445" s="36">
        <f t="shared" si="29"/>
        <v>1054.5</v>
      </c>
      <c r="G445" s="26">
        <f t="shared" si="30"/>
        <v>999</v>
      </c>
      <c r="H445" s="26">
        <f t="shared" si="31"/>
        <v>943.5</v>
      </c>
    </row>
    <row r="446" spans="1:8" x14ac:dyDescent="0.2">
      <c r="A446" s="31">
        <f t="shared" si="28"/>
        <v>432</v>
      </c>
      <c r="B446" s="9" t="s">
        <v>2358</v>
      </c>
      <c r="C446" s="32" t="s">
        <v>2357</v>
      </c>
      <c r="D446" s="1" t="s">
        <v>2356</v>
      </c>
      <c r="E446" s="36">
        <f>E12*22.5</f>
        <v>1665</v>
      </c>
      <c r="F446" s="36">
        <f t="shared" si="29"/>
        <v>1581.75</v>
      </c>
      <c r="G446" s="26">
        <f t="shared" si="30"/>
        <v>1498.5</v>
      </c>
      <c r="H446" s="26">
        <f t="shared" si="31"/>
        <v>1415.25</v>
      </c>
    </row>
    <row r="447" spans="1:8" x14ac:dyDescent="0.2">
      <c r="A447" s="31">
        <f t="shared" si="28"/>
        <v>433</v>
      </c>
      <c r="B447" s="9" t="s">
        <v>2360</v>
      </c>
      <c r="C447" s="32" t="s">
        <v>2361</v>
      </c>
      <c r="D447" s="1" t="s">
        <v>2359</v>
      </c>
      <c r="E447" s="36">
        <f>E12*14.8</f>
        <v>1095.2</v>
      </c>
      <c r="F447" s="36">
        <f t="shared" si="29"/>
        <v>1040.44</v>
      </c>
      <c r="G447" s="26">
        <f t="shared" si="30"/>
        <v>985.68000000000006</v>
      </c>
      <c r="H447" s="26">
        <f t="shared" si="31"/>
        <v>930.92000000000007</v>
      </c>
    </row>
    <row r="448" spans="1:8" x14ac:dyDescent="0.2">
      <c r="A448" s="31">
        <f t="shared" si="28"/>
        <v>434</v>
      </c>
      <c r="B448" s="9" t="s">
        <v>2364</v>
      </c>
      <c r="C448" s="32" t="s">
        <v>2363</v>
      </c>
      <c r="D448" s="1" t="s">
        <v>2362</v>
      </c>
      <c r="E448" s="36">
        <f>E12*14.8</f>
        <v>1095.2</v>
      </c>
      <c r="F448" s="36">
        <f t="shared" si="29"/>
        <v>1040.44</v>
      </c>
      <c r="G448" s="26">
        <f t="shared" si="30"/>
        <v>985.68000000000006</v>
      </c>
      <c r="H448" s="26">
        <f t="shared" si="31"/>
        <v>930.92000000000007</v>
      </c>
    </row>
    <row r="449" spans="1:8" x14ac:dyDescent="0.2">
      <c r="A449" s="31">
        <f t="shared" si="28"/>
        <v>435</v>
      </c>
      <c r="B449" s="9" t="s">
        <v>2367</v>
      </c>
      <c r="C449" s="32" t="s">
        <v>2366</v>
      </c>
      <c r="D449" s="1" t="s">
        <v>2365</v>
      </c>
      <c r="E449" s="36">
        <f>E12*15.16</f>
        <v>1121.8399999999999</v>
      </c>
      <c r="F449" s="36">
        <f t="shared" si="29"/>
        <v>1065.7479999999998</v>
      </c>
      <c r="G449" s="26">
        <f t="shared" si="30"/>
        <v>1009.6559999999999</v>
      </c>
      <c r="H449" s="26">
        <f t="shared" si="31"/>
        <v>953.56399999999996</v>
      </c>
    </row>
    <row r="450" spans="1:8" x14ac:dyDescent="0.2">
      <c r="A450" s="31">
        <f t="shared" si="28"/>
        <v>436</v>
      </c>
      <c r="B450" s="9" t="s">
        <v>2369</v>
      </c>
      <c r="C450" s="32">
        <v>81953016277</v>
      </c>
      <c r="D450" s="1" t="s">
        <v>2368</v>
      </c>
      <c r="E450" s="36">
        <f>E12*53.19</f>
        <v>3936.06</v>
      </c>
      <c r="F450" s="36">
        <f t="shared" si="29"/>
        <v>3739.2570000000001</v>
      </c>
      <c r="G450" s="26">
        <f t="shared" si="30"/>
        <v>3542.4539999999997</v>
      </c>
      <c r="H450" s="26">
        <f t="shared" si="31"/>
        <v>3345.6509999999998</v>
      </c>
    </row>
    <row r="451" spans="1:8" x14ac:dyDescent="0.2">
      <c r="A451" s="31">
        <f t="shared" si="28"/>
        <v>437</v>
      </c>
      <c r="B451" s="9" t="s">
        <v>176</v>
      </c>
      <c r="C451" s="32" t="s">
        <v>2372</v>
      </c>
      <c r="D451" s="1" t="s">
        <v>2371</v>
      </c>
      <c r="E451" s="36">
        <f>E12*154.7</f>
        <v>11447.8</v>
      </c>
      <c r="F451" s="36">
        <f t="shared" si="29"/>
        <v>10875.41</v>
      </c>
      <c r="G451" s="26">
        <f t="shared" si="30"/>
        <v>10303.019999999999</v>
      </c>
      <c r="H451" s="26">
        <f t="shared" si="31"/>
        <v>9730.6299999999992</v>
      </c>
    </row>
    <row r="452" spans="1:8" x14ac:dyDescent="0.2">
      <c r="A452" s="31">
        <f t="shared" si="28"/>
        <v>438</v>
      </c>
      <c r="B452" s="9" t="s">
        <v>2374</v>
      </c>
      <c r="C452" s="32">
        <v>81471016122</v>
      </c>
      <c r="D452" s="1" t="s">
        <v>2373</v>
      </c>
      <c r="E452" s="36">
        <f>E12*127.63</f>
        <v>9444.619999999999</v>
      </c>
      <c r="F452" s="36">
        <f t="shared" si="29"/>
        <v>8972.3889999999992</v>
      </c>
      <c r="G452" s="26">
        <f t="shared" si="30"/>
        <v>8500.1579999999994</v>
      </c>
      <c r="H452" s="26">
        <f t="shared" si="31"/>
        <v>8027.9269999999997</v>
      </c>
    </row>
    <row r="453" spans="1:8" x14ac:dyDescent="0.2">
      <c r="A453" s="31">
        <f t="shared" si="28"/>
        <v>439</v>
      </c>
      <c r="B453" s="9" t="s">
        <v>1225</v>
      </c>
      <c r="C453" s="32" t="s">
        <v>2376</v>
      </c>
      <c r="D453" s="1" t="s">
        <v>2375</v>
      </c>
      <c r="E453" s="36">
        <f>E12*110</f>
        <v>8140</v>
      </c>
      <c r="F453" s="36">
        <f t="shared" si="29"/>
        <v>7733</v>
      </c>
      <c r="G453" s="26">
        <f t="shared" si="30"/>
        <v>7326</v>
      </c>
      <c r="H453" s="26">
        <f t="shared" si="31"/>
        <v>6919</v>
      </c>
    </row>
    <row r="454" spans="1:8" x14ac:dyDescent="0.2">
      <c r="A454" s="31">
        <f t="shared" si="28"/>
        <v>440</v>
      </c>
      <c r="B454" s="9" t="s">
        <v>1145</v>
      </c>
      <c r="C454" s="32">
        <v>4032007101</v>
      </c>
      <c r="D454" s="1" t="s">
        <v>2377</v>
      </c>
      <c r="E454" s="36">
        <f>E12*88.11</f>
        <v>6520.14</v>
      </c>
      <c r="F454" s="36">
        <f t="shared" si="29"/>
        <v>6194.1329999999998</v>
      </c>
      <c r="G454" s="26">
        <f t="shared" si="30"/>
        <v>5868.1260000000002</v>
      </c>
      <c r="H454" s="26">
        <f t="shared" si="31"/>
        <v>5542.1190000000006</v>
      </c>
    </row>
    <row r="455" spans="1:8" x14ac:dyDescent="0.2">
      <c r="A455" s="31">
        <f t="shared" si="28"/>
        <v>441</v>
      </c>
      <c r="B455" s="9" t="s">
        <v>380</v>
      </c>
      <c r="C455" s="32">
        <v>4032007301</v>
      </c>
      <c r="D455" s="1" t="s">
        <v>2378</v>
      </c>
      <c r="E455" s="36">
        <f>E12*131.66</f>
        <v>9742.84</v>
      </c>
      <c r="F455" s="36">
        <f t="shared" si="29"/>
        <v>9255.6980000000003</v>
      </c>
      <c r="G455" s="26">
        <f t="shared" si="30"/>
        <v>8768.5560000000005</v>
      </c>
      <c r="H455" s="26">
        <f t="shared" si="31"/>
        <v>8281.4140000000007</v>
      </c>
    </row>
    <row r="456" spans="1:8" s="29" customFormat="1" x14ac:dyDescent="0.2">
      <c r="A456" s="31">
        <f t="shared" si="28"/>
        <v>442</v>
      </c>
      <c r="B456" s="32">
        <v>273030</v>
      </c>
      <c r="C456" s="32">
        <v>81417236026</v>
      </c>
      <c r="D456" s="30" t="s">
        <v>1387</v>
      </c>
      <c r="E456" s="36">
        <f>E12*57.99</f>
        <v>4291.26</v>
      </c>
      <c r="F456" s="36">
        <f t="shared" si="29"/>
        <v>4076.6970000000001</v>
      </c>
      <c r="G456" s="26">
        <f t="shared" si="30"/>
        <v>3862.134</v>
      </c>
      <c r="H456" s="26"/>
    </row>
    <row r="457" spans="1:8" x14ac:dyDescent="0.2">
      <c r="A457" s="31">
        <f t="shared" si="28"/>
        <v>443</v>
      </c>
      <c r="B457" s="9">
        <v>1100100</v>
      </c>
      <c r="C457" s="32" t="s">
        <v>1548</v>
      </c>
      <c r="D457" s="1" t="s">
        <v>521</v>
      </c>
      <c r="E457" s="36">
        <f>E12*11.61</f>
        <v>859.14</v>
      </c>
      <c r="F457" s="36">
        <f t="shared" si="29"/>
        <v>816.18299999999999</v>
      </c>
      <c r="G457" s="26">
        <f t="shared" si="30"/>
        <v>773.226</v>
      </c>
      <c r="H457" s="26">
        <f t="shared" si="31"/>
        <v>730.26900000000001</v>
      </c>
    </row>
    <row r="458" spans="1:8" s="29" customFormat="1" x14ac:dyDescent="0.2">
      <c r="A458" s="31">
        <f t="shared" si="28"/>
        <v>444</v>
      </c>
      <c r="B458" s="32">
        <v>1100117</v>
      </c>
      <c r="C458" s="32"/>
      <c r="D458" s="30" t="s">
        <v>1547</v>
      </c>
      <c r="E458" s="40">
        <f>E12*11.16</f>
        <v>825.84</v>
      </c>
      <c r="F458" s="36">
        <f t="shared" si="29"/>
        <v>784.548</v>
      </c>
      <c r="G458" s="26">
        <f t="shared" si="30"/>
        <v>743.25600000000009</v>
      </c>
      <c r="H458" s="26"/>
    </row>
    <row r="459" spans="1:8" x14ac:dyDescent="0.2">
      <c r="A459" s="31">
        <f t="shared" si="28"/>
        <v>445</v>
      </c>
      <c r="B459" s="9" t="s">
        <v>1287</v>
      </c>
      <c r="C459" s="32" t="s">
        <v>2380</v>
      </c>
      <c r="D459" s="1" t="s">
        <v>2379</v>
      </c>
      <c r="E459" s="36">
        <f>E12*50.73</f>
        <v>3754.02</v>
      </c>
      <c r="F459" s="36">
        <f t="shared" si="29"/>
        <v>3566.319</v>
      </c>
      <c r="G459" s="26">
        <f t="shared" si="30"/>
        <v>3378.6179999999999</v>
      </c>
      <c r="H459" s="26">
        <f t="shared" si="31"/>
        <v>3190.9169999999999</v>
      </c>
    </row>
    <row r="460" spans="1:8" x14ac:dyDescent="0.2">
      <c r="A460" s="31">
        <f t="shared" si="28"/>
        <v>446</v>
      </c>
      <c r="B460" s="9">
        <v>1100115</v>
      </c>
      <c r="C460" s="32">
        <v>81121506012</v>
      </c>
      <c r="D460" s="1" t="s">
        <v>1549</v>
      </c>
      <c r="E460" s="36">
        <f>E12*6.4</f>
        <v>473.6</v>
      </c>
      <c r="F460" s="36">
        <f t="shared" si="29"/>
        <v>449.92</v>
      </c>
      <c r="G460" s="26">
        <f t="shared" si="30"/>
        <v>426.24</v>
      </c>
      <c r="H460" s="26">
        <f t="shared" si="31"/>
        <v>402.56</v>
      </c>
    </row>
    <row r="461" spans="1:8" x14ac:dyDescent="0.2">
      <c r="A461" s="31">
        <f t="shared" si="28"/>
        <v>447</v>
      </c>
      <c r="B461" s="9" t="s">
        <v>668</v>
      </c>
      <c r="C461" s="32">
        <v>9.0005000000000003E-5</v>
      </c>
      <c r="D461" s="1" t="s">
        <v>2381</v>
      </c>
      <c r="E461" s="36">
        <f>E12*7.15</f>
        <v>529.1</v>
      </c>
      <c r="F461" s="36">
        <f t="shared" si="29"/>
        <v>502.64500000000004</v>
      </c>
      <c r="G461" s="26">
        <f t="shared" si="30"/>
        <v>476.19</v>
      </c>
      <c r="H461" s="26">
        <f t="shared" si="31"/>
        <v>449.73500000000001</v>
      </c>
    </row>
    <row r="462" spans="1:8" x14ac:dyDescent="0.2">
      <c r="A462" s="31">
        <f t="shared" si="28"/>
        <v>448</v>
      </c>
      <c r="B462" s="9" t="s">
        <v>348</v>
      </c>
      <c r="C462" s="32" t="s">
        <v>2383</v>
      </c>
      <c r="D462" s="1" t="s">
        <v>2382</v>
      </c>
      <c r="E462" s="36">
        <f>E12*38.9</f>
        <v>2878.6</v>
      </c>
      <c r="F462" s="36">
        <f t="shared" si="29"/>
        <v>2734.67</v>
      </c>
      <c r="G462" s="26">
        <f t="shared" si="30"/>
        <v>2590.7399999999998</v>
      </c>
      <c r="H462" s="26">
        <f t="shared" si="31"/>
        <v>2446.81</v>
      </c>
    </row>
    <row r="463" spans="1:8" x14ac:dyDescent="0.2">
      <c r="A463" s="31">
        <f t="shared" si="28"/>
        <v>449</v>
      </c>
      <c r="B463" s="9" t="s">
        <v>603</v>
      </c>
      <c r="C463" s="32" t="s">
        <v>2385</v>
      </c>
      <c r="D463" s="1" t="s">
        <v>2384</v>
      </c>
      <c r="E463" s="36">
        <f>E12*39.31</f>
        <v>2908.94</v>
      </c>
      <c r="F463" s="36">
        <f t="shared" si="29"/>
        <v>2763.4929999999999</v>
      </c>
      <c r="G463" s="26">
        <f t="shared" si="30"/>
        <v>2618.0460000000003</v>
      </c>
      <c r="H463" s="26">
        <f t="shared" si="31"/>
        <v>2472.5990000000002</v>
      </c>
    </row>
    <row r="464" spans="1:8" x14ac:dyDescent="0.2">
      <c r="A464" s="31">
        <f t="shared" si="28"/>
        <v>450</v>
      </c>
      <c r="B464" s="9" t="s">
        <v>699</v>
      </c>
      <c r="C464" s="32" t="s">
        <v>2387</v>
      </c>
      <c r="D464" s="1" t="s">
        <v>2386</v>
      </c>
      <c r="E464" s="36">
        <f>E12*41.6</f>
        <v>3078.4</v>
      </c>
      <c r="F464" s="36">
        <f t="shared" si="29"/>
        <v>2924.48</v>
      </c>
      <c r="G464" s="26">
        <f t="shared" si="30"/>
        <v>2770.56</v>
      </c>
      <c r="H464" s="26">
        <f t="shared" si="31"/>
        <v>2616.6400000000003</v>
      </c>
    </row>
    <row r="465" spans="1:8" x14ac:dyDescent="0.2">
      <c r="A465" s="31">
        <f t="shared" ref="A465:A528" si="32">A464+1</f>
        <v>451</v>
      </c>
      <c r="B465" s="9" t="s">
        <v>655</v>
      </c>
      <c r="C465" s="32" t="s">
        <v>2389</v>
      </c>
      <c r="D465" s="1" t="s">
        <v>2388</v>
      </c>
      <c r="E465" s="36">
        <f>E12*51.8</f>
        <v>3833.2</v>
      </c>
      <c r="F465" s="36">
        <f t="shared" si="29"/>
        <v>3641.54</v>
      </c>
      <c r="G465" s="26">
        <f t="shared" si="30"/>
        <v>3449.8799999999997</v>
      </c>
      <c r="H465" s="26">
        <f t="shared" si="31"/>
        <v>3258.22</v>
      </c>
    </row>
    <row r="466" spans="1:8" x14ac:dyDescent="0.2">
      <c r="A466" s="31">
        <f t="shared" si="32"/>
        <v>452</v>
      </c>
      <c r="B466" s="9" t="s">
        <v>670</v>
      </c>
      <c r="C466" s="32" t="s">
        <v>2391</v>
      </c>
      <c r="D466" s="1" t="s">
        <v>2390</v>
      </c>
      <c r="E466" s="36">
        <f>E12*39.31</f>
        <v>2908.94</v>
      </c>
      <c r="F466" s="36">
        <f t="shared" si="29"/>
        <v>2763.4929999999999</v>
      </c>
      <c r="G466" s="26">
        <f t="shared" si="30"/>
        <v>2618.0460000000003</v>
      </c>
      <c r="H466" s="26">
        <f t="shared" si="31"/>
        <v>2472.5990000000002</v>
      </c>
    </row>
    <row r="467" spans="1:8" x14ac:dyDescent="0.2">
      <c r="A467" s="31">
        <f t="shared" si="32"/>
        <v>453</v>
      </c>
      <c r="B467" s="9">
        <v>1200300</v>
      </c>
      <c r="C467" s="32" t="s">
        <v>1551</v>
      </c>
      <c r="D467" s="1" t="s">
        <v>1550</v>
      </c>
      <c r="E467" s="36">
        <f>E12*19.8</f>
        <v>1465.2</v>
      </c>
      <c r="F467" s="36">
        <f t="shared" si="29"/>
        <v>1391.94</v>
      </c>
      <c r="G467" s="26">
        <f t="shared" si="30"/>
        <v>1318.68</v>
      </c>
      <c r="H467" s="26">
        <f t="shared" si="31"/>
        <v>1245.42</v>
      </c>
    </row>
    <row r="468" spans="1:8" x14ac:dyDescent="0.2">
      <c r="A468" s="31">
        <f t="shared" si="32"/>
        <v>454</v>
      </c>
      <c r="B468" s="9" t="s">
        <v>1058</v>
      </c>
      <c r="C468" s="32">
        <v>4072000570</v>
      </c>
      <c r="D468" s="1" t="s">
        <v>2392</v>
      </c>
      <c r="E468" s="36">
        <f>E12*31.46</f>
        <v>2328.04</v>
      </c>
      <c r="F468" s="36">
        <f t="shared" si="29"/>
        <v>2211.6379999999999</v>
      </c>
      <c r="G468" s="26">
        <f t="shared" si="30"/>
        <v>2095.2359999999999</v>
      </c>
      <c r="H468" s="26">
        <f t="shared" si="31"/>
        <v>1978.8340000000001</v>
      </c>
    </row>
    <row r="469" spans="1:8" x14ac:dyDescent="0.2">
      <c r="A469" s="31">
        <f t="shared" si="32"/>
        <v>455</v>
      </c>
      <c r="B469" s="9" t="s">
        <v>1238</v>
      </c>
      <c r="C469" s="32"/>
      <c r="D469" s="1" t="s">
        <v>591</v>
      </c>
      <c r="E469" s="36">
        <f>E12*81.9</f>
        <v>6060.6</v>
      </c>
      <c r="F469" s="36">
        <f t="shared" si="29"/>
        <v>5757.5700000000006</v>
      </c>
      <c r="G469" s="26">
        <f t="shared" si="30"/>
        <v>5454.54</v>
      </c>
      <c r="H469" s="26">
        <f t="shared" si="31"/>
        <v>5151.51</v>
      </c>
    </row>
    <row r="470" spans="1:8" x14ac:dyDescent="0.2">
      <c r="A470" s="31">
        <f t="shared" si="32"/>
        <v>456</v>
      </c>
      <c r="B470" s="9" t="s">
        <v>1118</v>
      </c>
      <c r="C470" s="32">
        <v>4420310027</v>
      </c>
      <c r="D470" s="1" t="s">
        <v>2393</v>
      </c>
      <c r="E470" s="36">
        <f>E12*4.55</f>
        <v>336.7</v>
      </c>
      <c r="F470" s="36">
        <f t="shared" si="29"/>
        <v>319.86500000000001</v>
      </c>
      <c r="G470" s="26">
        <f t="shared" si="30"/>
        <v>303.02999999999997</v>
      </c>
      <c r="H470" s="26">
        <f t="shared" si="31"/>
        <v>286.19499999999999</v>
      </c>
    </row>
    <row r="471" spans="1:8" x14ac:dyDescent="0.2">
      <c r="A471" s="31">
        <f t="shared" si="32"/>
        <v>457</v>
      </c>
      <c r="B471" s="9" t="s">
        <v>209</v>
      </c>
      <c r="C471" s="32">
        <v>4030320309</v>
      </c>
      <c r="D471" s="1" t="s">
        <v>2394</v>
      </c>
      <c r="E471" s="36">
        <f>E12*4.55</f>
        <v>336.7</v>
      </c>
      <c r="F471" s="36">
        <f t="shared" si="29"/>
        <v>319.86500000000001</v>
      </c>
      <c r="G471" s="26">
        <f t="shared" si="30"/>
        <v>303.02999999999997</v>
      </c>
      <c r="H471" s="26">
        <f t="shared" si="31"/>
        <v>286.19499999999999</v>
      </c>
    </row>
    <row r="472" spans="1:8" x14ac:dyDescent="0.2">
      <c r="A472" s="31">
        <f t="shared" si="32"/>
        <v>458</v>
      </c>
      <c r="B472" s="9" t="s">
        <v>214</v>
      </c>
      <c r="C472" s="32"/>
      <c r="D472" s="1" t="s">
        <v>2395</v>
      </c>
      <c r="E472" s="36">
        <f>E12*38.67</f>
        <v>2861.58</v>
      </c>
      <c r="F472" s="36">
        <f t="shared" ref="F472:F517" si="33">E472-E472*5%</f>
        <v>2718.5009999999997</v>
      </c>
      <c r="G472" s="26">
        <f t="shared" ref="G472:G517" si="34">E472-E472*10%</f>
        <v>2575.422</v>
      </c>
      <c r="H472" s="26">
        <f t="shared" ref="H472:H517" si="35">E472-E472*15%</f>
        <v>2432.3429999999998</v>
      </c>
    </row>
    <row r="473" spans="1:8" x14ac:dyDescent="0.2">
      <c r="A473" s="31">
        <f t="shared" si="32"/>
        <v>459</v>
      </c>
      <c r="B473" s="9" t="s">
        <v>149</v>
      </c>
      <c r="C473" s="32" t="s">
        <v>2397</v>
      </c>
      <c r="D473" s="1" t="s">
        <v>2396</v>
      </c>
      <c r="E473" s="36">
        <f>E12*42.45</f>
        <v>3141.3</v>
      </c>
      <c r="F473" s="36">
        <f t="shared" si="33"/>
        <v>2984.2350000000001</v>
      </c>
      <c r="G473" s="26">
        <f t="shared" si="34"/>
        <v>2827.17</v>
      </c>
      <c r="H473" s="26">
        <f t="shared" si="35"/>
        <v>2670.105</v>
      </c>
    </row>
    <row r="474" spans="1:8" x14ac:dyDescent="0.2">
      <c r="A474" s="31">
        <f t="shared" si="32"/>
        <v>460</v>
      </c>
      <c r="B474" s="9" t="s">
        <v>150</v>
      </c>
      <c r="C474" s="32" t="s">
        <v>2399</v>
      </c>
      <c r="D474" s="1" t="s">
        <v>2398</v>
      </c>
      <c r="E474" s="36">
        <f>E12*38.23</f>
        <v>2829.02</v>
      </c>
      <c r="F474" s="36">
        <f t="shared" si="33"/>
        <v>2687.569</v>
      </c>
      <c r="G474" s="26">
        <f t="shared" si="34"/>
        <v>2546.1179999999999</v>
      </c>
      <c r="H474" s="26">
        <f t="shared" si="35"/>
        <v>2404.6669999999999</v>
      </c>
    </row>
    <row r="475" spans="1:8" x14ac:dyDescent="0.2">
      <c r="A475" s="31">
        <f t="shared" si="32"/>
        <v>461</v>
      </c>
      <c r="B475" s="9" t="s">
        <v>235</v>
      </c>
      <c r="C475" s="32"/>
      <c r="D475" s="1" t="s">
        <v>2400</v>
      </c>
      <c r="E475" s="36">
        <f>E12*38.27</f>
        <v>2831.98</v>
      </c>
      <c r="F475" s="36">
        <f t="shared" si="33"/>
        <v>2690.3809999999999</v>
      </c>
      <c r="G475" s="26">
        <f t="shared" si="34"/>
        <v>2548.7820000000002</v>
      </c>
      <c r="H475" s="26">
        <f t="shared" si="35"/>
        <v>2407.183</v>
      </c>
    </row>
    <row r="476" spans="1:8" x14ac:dyDescent="0.2">
      <c r="A476" s="31">
        <f t="shared" si="32"/>
        <v>462</v>
      </c>
      <c r="B476" s="20" t="s">
        <v>740</v>
      </c>
      <c r="C476" s="20">
        <v>3573201534</v>
      </c>
      <c r="D476" s="19" t="s">
        <v>2401</v>
      </c>
      <c r="E476" s="36">
        <f>E12*36</f>
        <v>2664</v>
      </c>
      <c r="F476" s="36">
        <f t="shared" si="33"/>
        <v>2530.8000000000002</v>
      </c>
      <c r="G476" s="26">
        <f t="shared" si="34"/>
        <v>2397.6</v>
      </c>
      <c r="H476" s="26">
        <f t="shared" si="35"/>
        <v>2264.4</v>
      </c>
    </row>
    <row r="477" spans="1:8" x14ac:dyDescent="0.2">
      <c r="A477" s="31">
        <f t="shared" si="32"/>
        <v>463</v>
      </c>
      <c r="B477" s="9" t="s">
        <v>144</v>
      </c>
      <c r="C477" s="32"/>
      <c r="D477" s="1" t="s">
        <v>2402</v>
      </c>
      <c r="E477" s="36">
        <f>E12*43.68</f>
        <v>3232.32</v>
      </c>
      <c r="F477" s="36">
        <f t="shared" si="33"/>
        <v>3070.7040000000002</v>
      </c>
      <c r="G477" s="26">
        <f t="shared" si="34"/>
        <v>2909.0880000000002</v>
      </c>
      <c r="H477" s="26">
        <f t="shared" si="35"/>
        <v>2747.4720000000002</v>
      </c>
    </row>
    <row r="478" spans="1:8" x14ac:dyDescent="0.2">
      <c r="A478" s="31">
        <f t="shared" si="32"/>
        <v>464</v>
      </c>
      <c r="B478" s="9" t="s">
        <v>923</v>
      </c>
      <c r="C478" s="32">
        <v>3023200143</v>
      </c>
      <c r="D478" s="1" t="s">
        <v>2403</v>
      </c>
      <c r="E478" s="36">
        <f>E12*32.5</f>
        <v>2405</v>
      </c>
      <c r="F478" s="36">
        <f t="shared" si="33"/>
        <v>2284.75</v>
      </c>
      <c r="G478" s="26">
        <f t="shared" si="34"/>
        <v>2164.5</v>
      </c>
      <c r="H478" s="26">
        <f t="shared" si="35"/>
        <v>2044.25</v>
      </c>
    </row>
    <row r="479" spans="1:8" x14ac:dyDescent="0.2">
      <c r="A479" s="31">
        <f t="shared" si="32"/>
        <v>465</v>
      </c>
      <c r="B479" s="9" t="s">
        <v>904</v>
      </c>
      <c r="C479" s="32">
        <v>6123200035</v>
      </c>
      <c r="D479" s="1" t="s">
        <v>2404</v>
      </c>
      <c r="E479" s="36">
        <f>E12*34</f>
        <v>2516</v>
      </c>
      <c r="F479" s="36">
        <f t="shared" si="33"/>
        <v>2390.1999999999998</v>
      </c>
      <c r="G479" s="26">
        <f t="shared" si="34"/>
        <v>2264.4</v>
      </c>
      <c r="H479" s="26">
        <f t="shared" si="35"/>
        <v>2138.6</v>
      </c>
    </row>
    <row r="480" spans="1:8" x14ac:dyDescent="0.2">
      <c r="A480" s="31">
        <f t="shared" si="32"/>
        <v>466</v>
      </c>
      <c r="B480" s="9" t="s">
        <v>941</v>
      </c>
      <c r="C480" s="32">
        <v>3563202243</v>
      </c>
      <c r="D480" s="1" t="s">
        <v>2405</v>
      </c>
      <c r="E480" s="36">
        <f>E12*89.16</f>
        <v>6597.84</v>
      </c>
      <c r="F480" s="36">
        <f t="shared" si="33"/>
        <v>6267.9480000000003</v>
      </c>
      <c r="G480" s="26">
        <f t="shared" si="34"/>
        <v>5938.0560000000005</v>
      </c>
      <c r="H480" s="26">
        <f t="shared" si="35"/>
        <v>5608.1640000000007</v>
      </c>
    </row>
    <row r="481" spans="1:8" x14ac:dyDescent="0.2">
      <c r="A481" s="31">
        <f t="shared" si="32"/>
        <v>467</v>
      </c>
      <c r="B481" s="9" t="s">
        <v>942</v>
      </c>
      <c r="C481" s="32">
        <v>3563202243</v>
      </c>
      <c r="D481" s="1" t="s">
        <v>2406</v>
      </c>
      <c r="E481" s="36">
        <f>E12*89.16</f>
        <v>6597.84</v>
      </c>
      <c r="F481" s="36">
        <f t="shared" si="33"/>
        <v>6267.9480000000003</v>
      </c>
      <c r="G481" s="26">
        <f t="shared" si="34"/>
        <v>5938.0560000000005</v>
      </c>
      <c r="H481" s="26">
        <f t="shared" si="35"/>
        <v>5608.1640000000007</v>
      </c>
    </row>
    <row r="482" spans="1:8" x14ac:dyDescent="0.2">
      <c r="A482" s="31">
        <f t="shared" si="32"/>
        <v>468</v>
      </c>
      <c r="B482" s="9" t="s">
        <v>943</v>
      </c>
      <c r="C482" s="32">
        <v>6183200035</v>
      </c>
      <c r="D482" s="1" t="s">
        <v>2407</v>
      </c>
      <c r="E482" s="36">
        <f>E12*42.66</f>
        <v>3156.8399999999997</v>
      </c>
      <c r="F482" s="36">
        <f t="shared" si="33"/>
        <v>2998.9979999999996</v>
      </c>
      <c r="G482" s="26">
        <f t="shared" si="34"/>
        <v>2841.1559999999999</v>
      </c>
      <c r="H482" s="26">
        <f t="shared" si="35"/>
        <v>2683.3139999999999</v>
      </c>
    </row>
    <row r="483" spans="1:8" x14ac:dyDescent="0.2">
      <c r="A483" s="31">
        <f t="shared" si="32"/>
        <v>469</v>
      </c>
      <c r="B483" s="9" t="s">
        <v>89</v>
      </c>
      <c r="C483" s="32">
        <v>81436030062</v>
      </c>
      <c r="D483" s="1" t="s">
        <v>2408</v>
      </c>
      <c r="E483" s="36">
        <f>E12*88.33</f>
        <v>6536.42</v>
      </c>
      <c r="F483" s="36">
        <f t="shared" si="33"/>
        <v>6209.5990000000002</v>
      </c>
      <c r="G483" s="26">
        <f t="shared" si="34"/>
        <v>5882.7780000000002</v>
      </c>
      <c r="H483" s="26">
        <f t="shared" si="35"/>
        <v>5555.9570000000003</v>
      </c>
    </row>
    <row r="484" spans="1:8" x14ac:dyDescent="0.2">
      <c r="A484" s="31">
        <f t="shared" si="32"/>
        <v>470</v>
      </c>
      <c r="B484" s="9" t="s">
        <v>143</v>
      </c>
      <c r="C484" s="32"/>
      <c r="D484" s="1" t="s">
        <v>2409</v>
      </c>
      <c r="E484" s="36">
        <f>E12*77.25</f>
        <v>5716.5</v>
      </c>
      <c r="F484" s="36">
        <f t="shared" si="33"/>
        <v>5430.6750000000002</v>
      </c>
      <c r="G484" s="26">
        <f t="shared" si="34"/>
        <v>5144.8500000000004</v>
      </c>
      <c r="H484" s="26">
        <f t="shared" si="35"/>
        <v>4859.0249999999996</v>
      </c>
    </row>
    <row r="485" spans="1:8" x14ac:dyDescent="0.2">
      <c r="A485" s="31">
        <f t="shared" si="32"/>
        <v>471</v>
      </c>
      <c r="B485" s="9" t="s">
        <v>90</v>
      </c>
      <c r="C485" s="32"/>
      <c r="D485" s="1" t="s">
        <v>2410</v>
      </c>
      <c r="E485" s="36">
        <f>E12*86.8</f>
        <v>6423.2</v>
      </c>
      <c r="F485" s="36">
        <f t="shared" si="33"/>
        <v>6102.04</v>
      </c>
      <c r="G485" s="26">
        <f t="shared" si="34"/>
        <v>5780.88</v>
      </c>
      <c r="H485" s="26">
        <f t="shared" si="35"/>
        <v>5459.72</v>
      </c>
    </row>
    <row r="486" spans="1:8" x14ac:dyDescent="0.2">
      <c r="A486" s="31">
        <f t="shared" si="32"/>
        <v>472</v>
      </c>
      <c r="B486" s="9" t="s">
        <v>91</v>
      </c>
      <c r="C486" s="32">
        <v>81436030060</v>
      </c>
      <c r="D486" s="1" t="s">
        <v>2411</v>
      </c>
      <c r="E486" s="36">
        <f>E12*47.58</f>
        <v>3520.92</v>
      </c>
      <c r="F486" s="36">
        <f t="shared" si="33"/>
        <v>3344.8740000000003</v>
      </c>
      <c r="G486" s="26">
        <f t="shared" si="34"/>
        <v>3168.828</v>
      </c>
      <c r="H486" s="26">
        <f t="shared" si="35"/>
        <v>2992.7820000000002</v>
      </c>
    </row>
    <row r="487" spans="1:8" x14ac:dyDescent="0.2">
      <c r="A487" s="31">
        <f t="shared" si="32"/>
        <v>473</v>
      </c>
      <c r="B487" s="9" t="s">
        <v>92</v>
      </c>
      <c r="C487" s="32"/>
      <c r="D487" s="1" t="s">
        <v>2412</v>
      </c>
      <c r="E487" s="36">
        <f>E12*70.7</f>
        <v>5231.8</v>
      </c>
      <c r="F487" s="36">
        <f t="shared" si="33"/>
        <v>4970.21</v>
      </c>
      <c r="G487" s="26">
        <f t="shared" si="34"/>
        <v>4708.62</v>
      </c>
      <c r="H487" s="26">
        <f t="shared" si="35"/>
        <v>4447.0300000000007</v>
      </c>
    </row>
    <row r="488" spans="1:8" x14ac:dyDescent="0.2">
      <c r="A488" s="31">
        <f t="shared" si="32"/>
        <v>474</v>
      </c>
      <c r="B488" s="9" t="s">
        <v>93</v>
      </c>
      <c r="C488" s="32">
        <v>3933201018</v>
      </c>
      <c r="D488" s="1" t="s">
        <v>2413</v>
      </c>
      <c r="E488" s="36">
        <f>E12*81.43</f>
        <v>6025.8200000000006</v>
      </c>
      <c r="F488" s="36">
        <f t="shared" si="33"/>
        <v>5724.5290000000005</v>
      </c>
      <c r="G488" s="26">
        <f t="shared" si="34"/>
        <v>5423.2380000000003</v>
      </c>
      <c r="H488" s="26">
        <f t="shared" si="35"/>
        <v>5121.9470000000001</v>
      </c>
    </row>
    <row r="489" spans="1:8" x14ac:dyDescent="0.2">
      <c r="A489" s="31">
        <f t="shared" si="32"/>
        <v>475</v>
      </c>
      <c r="B489" s="9" t="s">
        <v>94</v>
      </c>
      <c r="C489" s="32">
        <v>1001000200</v>
      </c>
      <c r="D489" s="1" t="s">
        <v>2414</v>
      </c>
      <c r="E489" s="36">
        <f>E12*79.5</f>
        <v>5883</v>
      </c>
      <c r="F489" s="36">
        <f t="shared" si="33"/>
        <v>5588.85</v>
      </c>
      <c r="G489" s="26">
        <f t="shared" si="34"/>
        <v>5294.7</v>
      </c>
      <c r="H489" s="26">
        <f t="shared" si="35"/>
        <v>5000.55</v>
      </c>
    </row>
    <row r="490" spans="1:8" x14ac:dyDescent="0.2">
      <c r="A490" s="31">
        <f t="shared" si="32"/>
        <v>476</v>
      </c>
      <c r="B490" s="9" t="s">
        <v>95</v>
      </c>
      <c r="C490" s="32"/>
      <c r="D490" s="1" t="s">
        <v>2415</v>
      </c>
      <c r="E490" s="36">
        <f>E12*65.8</f>
        <v>4869.2</v>
      </c>
      <c r="F490" s="36">
        <f t="shared" si="33"/>
        <v>4625.74</v>
      </c>
      <c r="G490" s="26">
        <f t="shared" si="34"/>
        <v>4382.28</v>
      </c>
      <c r="H490" s="26">
        <f t="shared" si="35"/>
        <v>4138.82</v>
      </c>
    </row>
    <row r="491" spans="1:8" x14ac:dyDescent="0.2">
      <c r="A491" s="31">
        <f t="shared" si="32"/>
        <v>477</v>
      </c>
      <c r="B491" s="9" t="s">
        <v>952</v>
      </c>
      <c r="C491" s="32"/>
      <c r="D491" s="1" t="s">
        <v>2416</v>
      </c>
      <c r="E491" s="36">
        <f>E12*64.25</f>
        <v>4754.5</v>
      </c>
      <c r="F491" s="36">
        <f t="shared" si="33"/>
        <v>4516.7749999999996</v>
      </c>
      <c r="G491" s="26">
        <f t="shared" si="34"/>
        <v>4279.05</v>
      </c>
      <c r="H491" s="26">
        <f t="shared" si="35"/>
        <v>4041.3249999999998</v>
      </c>
    </row>
    <row r="492" spans="1:8" x14ac:dyDescent="0.2">
      <c r="A492" s="31">
        <f t="shared" si="32"/>
        <v>478</v>
      </c>
      <c r="B492" s="9" t="s">
        <v>897</v>
      </c>
      <c r="C492" s="32"/>
      <c r="D492" s="1" t="s">
        <v>2417</v>
      </c>
      <c r="E492" s="36">
        <f>E12*72.41</f>
        <v>5358.34</v>
      </c>
      <c r="F492" s="36">
        <f t="shared" si="33"/>
        <v>5090.4229999999998</v>
      </c>
      <c r="G492" s="26">
        <f t="shared" si="34"/>
        <v>4822.5060000000003</v>
      </c>
      <c r="H492" s="26">
        <f t="shared" si="35"/>
        <v>4554.5889999999999</v>
      </c>
    </row>
    <row r="493" spans="1:8" x14ac:dyDescent="0.2">
      <c r="A493" s="31">
        <f t="shared" si="32"/>
        <v>479</v>
      </c>
      <c r="B493" s="9" t="s">
        <v>1005</v>
      </c>
      <c r="C493" s="32">
        <v>4771160000</v>
      </c>
      <c r="D493" s="1" t="s">
        <v>2418</v>
      </c>
      <c r="E493" s="36">
        <f>E12*9.58</f>
        <v>708.92</v>
      </c>
      <c r="F493" s="36">
        <f t="shared" si="33"/>
        <v>673.47399999999993</v>
      </c>
      <c r="G493" s="26">
        <f t="shared" si="34"/>
        <v>638.02800000000002</v>
      </c>
      <c r="H493" s="26">
        <f t="shared" si="35"/>
        <v>602.58199999999999</v>
      </c>
    </row>
    <row r="494" spans="1:8" x14ac:dyDescent="0.2">
      <c r="A494" s="31">
        <f t="shared" si="32"/>
        <v>480</v>
      </c>
      <c r="B494" s="9" t="s">
        <v>1125</v>
      </c>
      <c r="C494" s="32"/>
      <c r="D494" s="1" t="s">
        <v>2420</v>
      </c>
      <c r="E494" s="36">
        <f>E12*27.6</f>
        <v>2042.4</v>
      </c>
      <c r="F494" s="36">
        <f t="shared" si="33"/>
        <v>1940.2800000000002</v>
      </c>
      <c r="G494" s="26">
        <f t="shared" si="34"/>
        <v>1838.16</v>
      </c>
      <c r="H494" s="26">
        <f t="shared" si="35"/>
        <v>1736.04</v>
      </c>
    </row>
    <row r="495" spans="1:8" x14ac:dyDescent="0.2">
      <c r="A495" s="31">
        <f t="shared" si="32"/>
        <v>481</v>
      </c>
      <c r="B495" s="9" t="s">
        <v>1054</v>
      </c>
      <c r="C495" s="32">
        <v>3565010382</v>
      </c>
      <c r="D495" s="1" t="s">
        <v>2419</v>
      </c>
      <c r="E495" s="36">
        <f>E12*3.58</f>
        <v>264.92</v>
      </c>
      <c r="F495" s="36">
        <f t="shared" si="33"/>
        <v>251.67400000000001</v>
      </c>
      <c r="G495" s="26">
        <f t="shared" si="34"/>
        <v>238.428</v>
      </c>
      <c r="H495" s="26">
        <f t="shared" si="35"/>
        <v>225.18200000000002</v>
      </c>
    </row>
    <row r="496" spans="1:8" x14ac:dyDescent="0.2">
      <c r="A496" s="31">
        <f t="shared" si="32"/>
        <v>482</v>
      </c>
      <c r="B496" s="9" t="s">
        <v>96</v>
      </c>
      <c r="C496" s="32">
        <v>6205012082</v>
      </c>
      <c r="D496" s="1" t="s">
        <v>2421</v>
      </c>
      <c r="E496" s="36">
        <f>E12*18.15</f>
        <v>1343.1</v>
      </c>
      <c r="F496" s="36">
        <f t="shared" si="33"/>
        <v>1275.9449999999999</v>
      </c>
      <c r="G496" s="26">
        <f t="shared" si="34"/>
        <v>1208.79</v>
      </c>
      <c r="H496" s="26">
        <f t="shared" si="35"/>
        <v>1141.635</v>
      </c>
    </row>
    <row r="497" spans="1:8" x14ac:dyDescent="0.2">
      <c r="A497" s="31">
        <f t="shared" si="32"/>
        <v>483</v>
      </c>
      <c r="B497" s="9" t="s">
        <v>121</v>
      </c>
      <c r="C497" s="32">
        <v>3015010582</v>
      </c>
      <c r="D497" s="1" t="s">
        <v>2422</v>
      </c>
      <c r="E497" s="36">
        <f>E12*29.73</f>
        <v>2200.02</v>
      </c>
      <c r="F497" s="36">
        <f t="shared" si="33"/>
        <v>2090.0189999999998</v>
      </c>
      <c r="G497" s="26">
        <f t="shared" si="34"/>
        <v>1980.018</v>
      </c>
      <c r="H497" s="26">
        <f t="shared" si="35"/>
        <v>1870.0170000000001</v>
      </c>
    </row>
    <row r="498" spans="1:8" x14ac:dyDescent="0.2">
      <c r="A498" s="31">
        <f t="shared" si="32"/>
        <v>484</v>
      </c>
      <c r="B498" s="9" t="s">
        <v>131</v>
      </c>
      <c r="C498" s="32">
        <v>3015010182</v>
      </c>
      <c r="D498" s="1" t="s">
        <v>2423</v>
      </c>
      <c r="E498" s="36">
        <f>E12*13</f>
        <v>962</v>
      </c>
      <c r="F498" s="36">
        <f t="shared" si="33"/>
        <v>913.9</v>
      </c>
      <c r="G498" s="26">
        <f t="shared" si="34"/>
        <v>865.8</v>
      </c>
      <c r="H498" s="26">
        <f t="shared" si="35"/>
        <v>817.7</v>
      </c>
    </row>
    <row r="499" spans="1:8" x14ac:dyDescent="0.2">
      <c r="A499" s="31">
        <f t="shared" si="32"/>
        <v>485</v>
      </c>
      <c r="B499" s="9" t="s">
        <v>772</v>
      </c>
      <c r="C499" s="32">
        <v>3015010782</v>
      </c>
      <c r="D499" s="1" t="s">
        <v>2424</v>
      </c>
      <c r="E499" s="36">
        <f>E12*14.01</f>
        <v>1036.74</v>
      </c>
      <c r="F499" s="36">
        <f t="shared" si="33"/>
        <v>984.90300000000002</v>
      </c>
      <c r="G499" s="26">
        <f t="shared" si="34"/>
        <v>933.06600000000003</v>
      </c>
      <c r="H499" s="26">
        <f t="shared" si="35"/>
        <v>881.22900000000004</v>
      </c>
    </row>
    <row r="500" spans="1:8" x14ac:dyDescent="0.2">
      <c r="A500" s="31">
        <f t="shared" si="32"/>
        <v>486</v>
      </c>
      <c r="B500" s="9" t="s">
        <v>981</v>
      </c>
      <c r="C500" s="32">
        <v>6165010682</v>
      </c>
      <c r="D500" s="1" t="s">
        <v>2425</v>
      </c>
      <c r="E500" s="36">
        <f>E12*7.9</f>
        <v>584.6</v>
      </c>
      <c r="F500" s="36">
        <f t="shared" si="33"/>
        <v>555.37</v>
      </c>
      <c r="G500" s="26">
        <f t="shared" si="34"/>
        <v>526.14</v>
      </c>
      <c r="H500" s="26">
        <f t="shared" si="35"/>
        <v>496.91</v>
      </c>
    </row>
    <row r="501" spans="1:8" x14ac:dyDescent="0.2">
      <c r="A501" s="31">
        <f t="shared" si="32"/>
        <v>487</v>
      </c>
      <c r="B501" s="9" t="s">
        <v>768</v>
      </c>
      <c r="C501" s="32">
        <v>3565010482</v>
      </c>
      <c r="D501" s="1" t="s">
        <v>2426</v>
      </c>
      <c r="E501" s="36">
        <f>E12*24</f>
        <v>1776</v>
      </c>
      <c r="F501" s="36">
        <f t="shared" si="33"/>
        <v>1687.2</v>
      </c>
      <c r="G501" s="26">
        <f t="shared" si="34"/>
        <v>1598.4</v>
      </c>
      <c r="H501" s="26">
        <f t="shared" si="35"/>
        <v>1509.6</v>
      </c>
    </row>
    <row r="502" spans="1:8" x14ac:dyDescent="0.2">
      <c r="A502" s="31">
        <f t="shared" si="32"/>
        <v>488</v>
      </c>
      <c r="B502" s="9" t="s">
        <v>122</v>
      </c>
      <c r="C502" s="32">
        <v>3465015082</v>
      </c>
      <c r="D502" s="1" t="s">
        <v>135</v>
      </c>
      <c r="E502" s="36">
        <f>12*11.25</f>
        <v>135</v>
      </c>
      <c r="F502" s="36">
        <f t="shared" si="33"/>
        <v>128.25</v>
      </c>
      <c r="G502" s="26">
        <f t="shared" si="34"/>
        <v>121.5</v>
      </c>
      <c r="H502" s="26">
        <f t="shared" si="35"/>
        <v>114.75</v>
      </c>
    </row>
    <row r="503" spans="1:8" x14ac:dyDescent="0.2">
      <c r="A503" s="31">
        <f t="shared" si="32"/>
        <v>489</v>
      </c>
      <c r="B503" s="9" t="s">
        <v>771</v>
      </c>
      <c r="C503" s="32">
        <v>3465015182</v>
      </c>
      <c r="D503" s="1" t="s">
        <v>2427</v>
      </c>
      <c r="E503" s="36">
        <f>E12*9.25</f>
        <v>684.5</v>
      </c>
      <c r="F503" s="36">
        <f t="shared" si="33"/>
        <v>650.27499999999998</v>
      </c>
      <c r="G503" s="26">
        <f t="shared" si="34"/>
        <v>616.04999999999995</v>
      </c>
      <c r="H503" s="26">
        <f t="shared" si="35"/>
        <v>581.82500000000005</v>
      </c>
    </row>
    <row r="504" spans="1:8" x14ac:dyDescent="0.2">
      <c r="A504" s="31">
        <f t="shared" si="32"/>
        <v>490</v>
      </c>
      <c r="B504" s="9" t="s">
        <v>123</v>
      </c>
      <c r="C504" s="32">
        <v>3875012982</v>
      </c>
      <c r="D504" s="1" t="s">
        <v>136</v>
      </c>
      <c r="E504" s="36">
        <f>E12*10.75</f>
        <v>795.5</v>
      </c>
      <c r="F504" s="36">
        <f t="shared" si="33"/>
        <v>755.72500000000002</v>
      </c>
      <c r="G504" s="26">
        <f t="shared" si="34"/>
        <v>715.95</v>
      </c>
      <c r="H504" s="26">
        <f t="shared" si="35"/>
        <v>676.17499999999995</v>
      </c>
    </row>
    <row r="505" spans="1:8" x14ac:dyDescent="0.2">
      <c r="A505" s="31">
        <f t="shared" si="32"/>
        <v>491</v>
      </c>
      <c r="B505" s="9" t="s">
        <v>88</v>
      </c>
      <c r="C505" s="32">
        <v>6165010982</v>
      </c>
      <c r="D505" s="1" t="s">
        <v>137</v>
      </c>
      <c r="E505" s="36">
        <f>E12*29</f>
        <v>2146</v>
      </c>
      <c r="F505" s="36">
        <f t="shared" si="33"/>
        <v>2038.7</v>
      </c>
      <c r="G505" s="26">
        <f t="shared" si="34"/>
        <v>1931.4</v>
      </c>
      <c r="H505" s="26">
        <f t="shared" si="35"/>
        <v>1824.1</v>
      </c>
    </row>
    <row r="506" spans="1:8" x14ac:dyDescent="0.2">
      <c r="A506" s="31">
        <f t="shared" si="32"/>
        <v>492</v>
      </c>
      <c r="B506" s="9" t="s">
        <v>773</v>
      </c>
      <c r="C506" s="32">
        <v>3565010082</v>
      </c>
      <c r="D506" s="1" t="s">
        <v>2428</v>
      </c>
      <c r="E506" s="36">
        <f>E12*13.65</f>
        <v>1010.1</v>
      </c>
      <c r="F506" s="36">
        <f t="shared" si="33"/>
        <v>959.59500000000003</v>
      </c>
      <c r="G506" s="26">
        <f t="shared" si="34"/>
        <v>909.09</v>
      </c>
      <c r="H506" s="26">
        <f t="shared" si="35"/>
        <v>858.58500000000004</v>
      </c>
    </row>
    <row r="507" spans="1:8" x14ac:dyDescent="0.2">
      <c r="A507" s="31">
        <f t="shared" si="32"/>
        <v>493</v>
      </c>
      <c r="B507" s="9" t="s">
        <v>124</v>
      </c>
      <c r="C507" s="32">
        <v>6555011482</v>
      </c>
      <c r="D507" s="1" t="s">
        <v>138</v>
      </c>
      <c r="E507" s="36">
        <f>E12*5.9</f>
        <v>436.6</v>
      </c>
      <c r="F507" s="36">
        <f t="shared" si="33"/>
        <v>414.77000000000004</v>
      </c>
      <c r="G507" s="26">
        <f t="shared" si="34"/>
        <v>392.94</v>
      </c>
      <c r="H507" s="26">
        <f t="shared" si="35"/>
        <v>371.11</v>
      </c>
    </row>
    <row r="508" spans="1:8" x14ac:dyDescent="0.2">
      <c r="A508" s="31">
        <f t="shared" si="32"/>
        <v>494</v>
      </c>
      <c r="B508" s="9" t="s">
        <v>770</v>
      </c>
      <c r="C508" s="32">
        <v>9405011282</v>
      </c>
      <c r="D508" s="1" t="s">
        <v>2429</v>
      </c>
      <c r="E508" s="36">
        <f>E12*7.16</f>
        <v>529.84</v>
      </c>
      <c r="F508" s="36">
        <f t="shared" si="33"/>
        <v>503.34800000000001</v>
      </c>
      <c r="G508" s="26">
        <f t="shared" si="34"/>
        <v>476.85599999999999</v>
      </c>
      <c r="H508" s="26">
        <f t="shared" si="35"/>
        <v>450.36400000000003</v>
      </c>
    </row>
    <row r="509" spans="1:8" x14ac:dyDescent="0.2">
      <c r="A509" s="31">
        <f t="shared" si="32"/>
        <v>495</v>
      </c>
      <c r="B509" s="9" t="s">
        <v>131</v>
      </c>
      <c r="C509" s="32">
        <v>3015010182</v>
      </c>
      <c r="D509" s="1" t="s">
        <v>139</v>
      </c>
      <c r="E509" s="36">
        <f>E12*13</f>
        <v>962</v>
      </c>
      <c r="F509" s="36">
        <f t="shared" si="33"/>
        <v>913.9</v>
      </c>
      <c r="G509" s="26">
        <f t="shared" si="34"/>
        <v>865.8</v>
      </c>
      <c r="H509" s="26">
        <f t="shared" si="35"/>
        <v>817.7</v>
      </c>
    </row>
    <row r="510" spans="1:8" x14ac:dyDescent="0.2">
      <c r="A510" s="31">
        <f t="shared" si="32"/>
        <v>496</v>
      </c>
      <c r="B510" s="9" t="s">
        <v>769</v>
      </c>
      <c r="C510" s="32">
        <v>9405010782</v>
      </c>
      <c r="D510" s="1" t="s">
        <v>2430</v>
      </c>
      <c r="E510" s="36">
        <f>E12*9.91</f>
        <v>733.34</v>
      </c>
      <c r="F510" s="36">
        <f t="shared" si="33"/>
        <v>696.673</v>
      </c>
      <c r="G510" s="26">
        <f t="shared" si="34"/>
        <v>660.00600000000009</v>
      </c>
      <c r="H510" s="26">
        <f t="shared" si="35"/>
        <v>623.33900000000006</v>
      </c>
    </row>
    <row r="511" spans="1:8" x14ac:dyDescent="0.2">
      <c r="A511" s="31">
        <f t="shared" si="32"/>
        <v>497</v>
      </c>
      <c r="B511" s="9" t="s">
        <v>803</v>
      </c>
      <c r="C511" s="32">
        <v>6205010382</v>
      </c>
      <c r="D511" s="1" t="s">
        <v>2431</v>
      </c>
      <c r="E511" s="36">
        <f>E12*12.83</f>
        <v>949.42</v>
      </c>
      <c r="F511" s="36">
        <f t="shared" si="33"/>
        <v>901.94899999999996</v>
      </c>
      <c r="G511" s="26">
        <f t="shared" si="34"/>
        <v>854.47799999999995</v>
      </c>
      <c r="H511" s="26">
        <f t="shared" si="35"/>
        <v>807.00699999999995</v>
      </c>
    </row>
    <row r="512" spans="1:8" x14ac:dyDescent="0.2">
      <c r="A512" s="31">
        <f t="shared" si="32"/>
        <v>498</v>
      </c>
      <c r="B512" s="9" t="s">
        <v>751</v>
      </c>
      <c r="C512" s="32">
        <v>6555011282</v>
      </c>
      <c r="D512" s="1" t="s">
        <v>2432</v>
      </c>
      <c r="E512" s="36">
        <f>E12*12.83</f>
        <v>949.42</v>
      </c>
      <c r="F512" s="36">
        <f t="shared" si="33"/>
        <v>901.94899999999996</v>
      </c>
      <c r="G512" s="26">
        <f t="shared" si="34"/>
        <v>854.47799999999995</v>
      </c>
      <c r="H512" s="26">
        <f t="shared" si="35"/>
        <v>807.00699999999995</v>
      </c>
    </row>
    <row r="513" spans="1:8" x14ac:dyDescent="0.2">
      <c r="A513" s="31">
        <f t="shared" si="32"/>
        <v>499</v>
      </c>
      <c r="B513" s="9" t="s">
        <v>757</v>
      </c>
      <c r="C513" s="32">
        <v>6155280082</v>
      </c>
      <c r="D513" s="1" t="s">
        <v>2433</v>
      </c>
      <c r="E513" s="36">
        <f>E12*30.46</f>
        <v>2254.04</v>
      </c>
      <c r="F513" s="36">
        <f t="shared" si="33"/>
        <v>2141.3379999999997</v>
      </c>
      <c r="G513" s="26">
        <f t="shared" si="34"/>
        <v>2028.636</v>
      </c>
      <c r="H513" s="26">
        <f t="shared" si="35"/>
        <v>1915.934</v>
      </c>
    </row>
    <row r="514" spans="1:8" x14ac:dyDescent="0.2">
      <c r="A514" s="31">
        <f t="shared" si="32"/>
        <v>500</v>
      </c>
      <c r="B514" s="9" t="s">
        <v>1115</v>
      </c>
      <c r="C514" s="32">
        <v>3015010382</v>
      </c>
      <c r="D514" s="1" t="s">
        <v>2434</v>
      </c>
      <c r="E514" s="36">
        <f>E12*14.2</f>
        <v>1050.8</v>
      </c>
      <c r="F514" s="36">
        <f t="shared" si="33"/>
        <v>998.26</v>
      </c>
      <c r="G514" s="26">
        <f t="shared" si="34"/>
        <v>945.71999999999991</v>
      </c>
      <c r="H514" s="26">
        <f t="shared" si="35"/>
        <v>893.18</v>
      </c>
    </row>
    <row r="515" spans="1:8" x14ac:dyDescent="0.2">
      <c r="A515" s="31">
        <f t="shared" si="32"/>
        <v>501</v>
      </c>
      <c r="B515" s="9" t="s">
        <v>310</v>
      </c>
      <c r="C515" s="32">
        <v>7332017000</v>
      </c>
      <c r="D515" s="1" t="s">
        <v>2435</v>
      </c>
      <c r="E515" s="36">
        <f>E12*81.9</f>
        <v>6060.6</v>
      </c>
      <c r="F515" s="36">
        <f t="shared" si="33"/>
        <v>5757.5700000000006</v>
      </c>
      <c r="G515" s="26">
        <f t="shared" si="34"/>
        <v>5454.54</v>
      </c>
      <c r="H515" s="26">
        <f t="shared" si="35"/>
        <v>5151.51</v>
      </c>
    </row>
    <row r="516" spans="1:8" x14ac:dyDescent="0.2">
      <c r="A516" s="31">
        <f t="shared" si="32"/>
        <v>502</v>
      </c>
      <c r="B516" s="9" t="s">
        <v>1121</v>
      </c>
      <c r="C516" s="32">
        <v>3575400045</v>
      </c>
      <c r="D516" s="1" t="s">
        <v>2436</v>
      </c>
      <c r="E516" s="36">
        <f>E12*53.66</f>
        <v>3970.8399999999997</v>
      </c>
      <c r="F516" s="36">
        <f t="shared" si="33"/>
        <v>3772.2979999999998</v>
      </c>
      <c r="G516" s="26">
        <f t="shared" si="34"/>
        <v>3573.7559999999999</v>
      </c>
      <c r="H516" s="26">
        <f t="shared" si="35"/>
        <v>3375.2139999999999</v>
      </c>
    </row>
    <row r="517" spans="1:8" x14ac:dyDescent="0.2">
      <c r="A517" s="31">
        <f t="shared" si="32"/>
        <v>503</v>
      </c>
      <c r="B517" s="9" t="s">
        <v>1060</v>
      </c>
      <c r="C517" s="32" t="s">
        <v>2441</v>
      </c>
      <c r="D517" s="1" t="s">
        <v>2437</v>
      </c>
      <c r="E517" s="36">
        <f>E12*36</f>
        <v>2664</v>
      </c>
      <c r="F517" s="36">
        <f t="shared" si="33"/>
        <v>2530.8000000000002</v>
      </c>
      <c r="G517" s="26">
        <f t="shared" si="34"/>
        <v>2397.6</v>
      </c>
      <c r="H517" s="26">
        <f t="shared" si="35"/>
        <v>2264.4</v>
      </c>
    </row>
    <row r="518" spans="1:8" x14ac:dyDescent="0.2">
      <c r="A518" s="31">
        <f t="shared" si="32"/>
        <v>504</v>
      </c>
      <c r="B518" s="9" t="s">
        <v>973</v>
      </c>
      <c r="C518" s="32" t="s">
        <v>2442</v>
      </c>
      <c r="D518" s="1" t="s">
        <v>2438</v>
      </c>
      <c r="E518" s="36">
        <f>E12*66.34</f>
        <v>4909.16</v>
      </c>
      <c r="F518" s="36">
        <f t="shared" ref="F518:F586" si="36">E518-E518*5%</f>
        <v>4663.7020000000002</v>
      </c>
      <c r="G518" s="26">
        <f t="shared" ref="G518:G586" si="37">E518-E518*10%</f>
        <v>4418.2439999999997</v>
      </c>
      <c r="H518" s="26">
        <f t="shared" ref="H518:H586" si="38">E518-E518*15%</f>
        <v>4172.7860000000001</v>
      </c>
    </row>
    <row r="519" spans="1:8" x14ac:dyDescent="0.2">
      <c r="A519" s="31">
        <f t="shared" si="32"/>
        <v>505</v>
      </c>
      <c r="B519" s="9">
        <v>461410</v>
      </c>
      <c r="C519" s="32" t="s">
        <v>2440</v>
      </c>
      <c r="D519" s="1" t="s">
        <v>2439</v>
      </c>
      <c r="E519" s="36">
        <f>E12*23.83</f>
        <v>1763.4199999999998</v>
      </c>
      <c r="F519" s="36">
        <f t="shared" si="36"/>
        <v>1675.2489999999998</v>
      </c>
      <c r="G519" s="26">
        <f t="shared" si="37"/>
        <v>1587.078</v>
      </c>
      <c r="H519" s="26">
        <f t="shared" si="38"/>
        <v>1498.9069999999999</v>
      </c>
    </row>
    <row r="520" spans="1:8" x14ac:dyDescent="0.2">
      <c r="A520" s="31">
        <f t="shared" si="32"/>
        <v>506</v>
      </c>
      <c r="B520" s="9" t="s">
        <v>650</v>
      </c>
      <c r="C520" s="32" t="s">
        <v>2444</v>
      </c>
      <c r="D520" s="1" t="s">
        <v>2443</v>
      </c>
      <c r="E520" s="36">
        <f>E12*3.27</f>
        <v>241.98</v>
      </c>
      <c r="F520" s="36">
        <f t="shared" si="36"/>
        <v>229.881</v>
      </c>
      <c r="G520" s="26">
        <f t="shared" si="37"/>
        <v>217.78199999999998</v>
      </c>
      <c r="H520" s="26">
        <f t="shared" si="38"/>
        <v>205.68299999999999</v>
      </c>
    </row>
    <row r="521" spans="1:8" s="29" customFormat="1" x14ac:dyDescent="0.2">
      <c r="A521" s="31">
        <f t="shared" si="32"/>
        <v>507</v>
      </c>
      <c r="B521" s="32">
        <v>218100</v>
      </c>
      <c r="C521" s="32">
        <v>4613170000</v>
      </c>
      <c r="D521" s="30" t="s">
        <v>1524</v>
      </c>
      <c r="E521" s="36">
        <f>E12*69.95</f>
        <v>5176.3</v>
      </c>
      <c r="F521" s="36">
        <f t="shared" si="36"/>
        <v>4917.4850000000006</v>
      </c>
      <c r="G521" s="26">
        <f t="shared" si="37"/>
        <v>4658.67</v>
      </c>
      <c r="H521" s="26">
        <f t="shared" si="38"/>
        <v>4399.8550000000005</v>
      </c>
    </row>
    <row r="522" spans="1:8" x14ac:dyDescent="0.2">
      <c r="A522" s="31">
        <f t="shared" si="32"/>
        <v>508</v>
      </c>
      <c r="B522" s="9" t="s">
        <v>512</v>
      </c>
      <c r="C522" s="32" t="s">
        <v>2446</v>
      </c>
      <c r="D522" s="1" t="s">
        <v>2445</v>
      </c>
      <c r="E522" s="36">
        <f>E12*108</f>
        <v>7992</v>
      </c>
      <c r="F522" s="36">
        <f t="shared" si="36"/>
        <v>7592.4</v>
      </c>
      <c r="G522" s="26">
        <f t="shared" si="37"/>
        <v>7192.8</v>
      </c>
      <c r="H522" s="26">
        <f t="shared" si="38"/>
        <v>6793.2</v>
      </c>
    </row>
    <row r="523" spans="1:8" s="29" customFormat="1" x14ac:dyDescent="0.2">
      <c r="A523" s="31">
        <f t="shared" si="32"/>
        <v>509</v>
      </c>
      <c r="B523" s="32">
        <v>400100</v>
      </c>
      <c r="C523" s="32">
        <v>9700511110</v>
      </c>
      <c r="D523" s="30" t="s">
        <v>1589</v>
      </c>
      <c r="E523" s="36">
        <f>E12*54.49</f>
        <v>4032.26</v>
      </c>
      <c r="F523" s="36">
        <f t="shared" si="36"/>
        <v>3830.6470000000004</v>
      </c>
      <c r="G523" s="26">
        <f t="shared" si="37"/>
        <v>3629.0340000000001</v>
      </c>
      <c r="H523" s="26">
        <f t="shared" si="38"/>
        <v>3427.4210000000003</v>
      </c>
    </row>
    <row r="524" spans="1:8" s="29" customFormat="1" x14ac:dyDescent="0.2">
      <c r="A524" s="31">
        <f t="shared" si="32"/>
        <v>510</v>
      </c>
      <c r="B524" s="32">
        <v>400101</v>
      </c>
      <c r="C524" s="32">
        <v>9700511140</v>
      </c>
      <c r="D524" s="30" t="s">
        <v>1590</v>
      </c>
      <c r="E524" s="36">
        <f>E12*54</f>
        <v>3996</v>
      </c>
      <c r="F524" s="36">
        <f t="shared" si="36"/>
        <v>3796.2</v>
      </c>
      <c r="G524" s="26">
        <f t="shared" si="37"/>
        <v>3596.4</v>
      </c>
      <c r="H524" s="26">
        <f t="shared" si="38"/>
        <v>3396.6</v>
      </c>
    </row>
    <row r="525" spans="1:8" s="29" customFormat="1" x14ac:dyDescent="0.2">
      <c r="A525" s="31">
        <f t="shared" si="32"/>
        <v>511</v>
      </c>
      <c r="B525" s="32">
        <v>402130</v>
      </c>
      <c r="C525" s="32">
        <v>9700511630</v>
      </c>
      <c r="D525" s="30" t="s">
        <v>1591</v>
      </c>
      <c r="E525" s="36">
        <f>E12*55</f>
        <v>4070</v>
      </c>
      <c r="F525" s="36">
        <f t="shared" si="36"/>
        <v>3866.5</v>
      </c>
      <c r="G525" s="26">
        <f t="shared" si="37"/>
        <v>3663</v>
      </c>
      <c r="H525" s="26">
        <f t="shared" si="38"/>
        <v>3459.5</v>
      </c>
    </row>
    <row r="526" spans="1:8" s="29" customFormat="1" x14ac:dyDescent="0.2">
      <c r="A526" s="31">
        <f t="shared" si="32"/>
        <v>512</v>
      </c>
      <c r="B526" s="32">
        <v>402100</v>
      </c>
      <c r="C526" s="32">
        <v>9700511240</v>
      </c>
      <c r="D526" s="30" t="s">
        <v>1593</v>
      </c>
      <c r="E526" s="36">
        <f>E12*75</f>
        <v>5550</v>
      </c>
      <c r="F526" s="36">
        <f t="shared" si="36"/>
        <v>5272.5</v>
      </c>
      <c r="G526" s="26">
        <f t="shared" si="37"/>
        <v>4995</v>
      </c>
      <c r="H526" s="26">
        <f t="shared" si="38"/>
        <v>4717.5</v>
      </c>
    </row>
    <row r="527" spans="1:8" s="29" customFormat="1" x14ac:dyDescent="0.2">
      <c r="A527" s="31">
        <f t="shared" si="32"/>
        <v>513</v>
      </c>
      <c r="B527" s="32">
        <v>403100</v>
      </c>
      <c r="C527" s="32" t="s">
        <v>1594</v>
      </c>
      <c r="D527" s="30" t="s">
        <v>1592</v>
      </c>
      <c r="E527" s="36">
        <f>E12*60</f>
        <v>4440</v>
      </c>
      <c r="F527" s="36">
        <f t="shared" si="36"/>
        <v>4218</v>
      </c>
      <c r="G527" s="26">
        <f t="shared" si="37"/>
        <v>3996</v>
      </c>
      <c r="H527" s="26">
        <f t="shared" si="38"/>
        <v>3774</v>
      </c>
    </row>
    <row r="528" spans="1:8" s="29" customFormat="1" x14ac:dyDescent="0.2">
      <c r="A528" s="31">
        <f t="shared" si="32"/>
        <v>514</v>
      </c>
      <c r="B528" s="32">
        <v>404101</v>
      </c>
      <c r="C528" s="32" t="s">
        <v>1596</v>
      </c>
      <c r="D528" s="30" t="s">
        <v>1595</v>
      </c>
      <c r="E528" s="36">
        <f>E12*65</f>
        <v>4810</v>
      </c>
      <c r="F528" s="36">
        <f t="shared" si="36"/>
        <v>4569.5</v>
      </c>
      <c r="G528" s="26">
        <f t="shared" si="37"/>
        <v>4329</v>
      </c>
      <c r="H528" s="26">
        <f t="shared" si="38"/>
        <v>4088.5</v>
      </c>
    </row>
    <row r="529" spans="1:8" s="29" customFormat="1" x14ac:dyDescent="0.2">
      <c r="A529" s="31">
        <f t="shared" ref="A529:A592" si="39">A528+1</f>
        <v>515</v>
      </c>
      <c r="B529" s="32">
        <v>405100</v>
      </c>
      <c r="C529" s="32">
        <v>9700511310</v>
      </c>
      <c r="D529" s="30" t="s">
        <v>1597</v>
      </c>
      <c r="E529" s="36">
        <f>E12*64</f>
        <v>4736</v>
      </c>
      <c r="F529" s="36">
        <f t="shared" si="36"/>
        <v>4499.2</v>
      </c>
      <c r="G529" s="26">
        <f t="shared" si="37"/>
        <v>4262.3999999999996</v>
      </c>
      <c r="H529" s="26">
        <f t="shared" si="38"/>
        <v>4025.6</v>
      </c>
    </row>
    <row r="530" spans="1:8" s="29" customFormat="1" x14ac:dyDescent="0.2">
      <c r="A530" s="31">
        <f t="shared" si="39"/>
        <v>516</v>
      </c>
      <c r="B530" s="32">
        <v>411102</v>
      </c>
      <c r="C530" s="32" t="s">
        <v>1603</v>
      </c>
      <c r="D530" s="30" t="s">
        <v>1602</v>
      </c>
      <c r="E530" s="36">
        <f>E12*118</f>
        <v>8732</v>
      </c>
      <c r="F530" s="36">
        <f t="shared" si="36"/>
        <v>8295.4</v>
      </c>
      <c r="G530" s="26">
        <f t="shared" si="37"/>
        <v>7858.8</v>
      </c>
      <c r="H530" s="26">
        <f t="shared" si="38"/>
        <v>7422.2</v>
      </c>
    </row>
    <row r="531" spans="1:8" s="29" customFormat="1" x14ac:dyDescent="0.2">
      <c r="A531" s="31">
        <f t="shared" si="39"/>
        <v>517</v>
      </c>
      <c r="B531" s="32">
        <v>411103</v>
      </c>
      <c r="C531" s="32">
        <v>9700514120</v>
      </c>
      <c r="D531" s="30" t="s">
        <v>1598</v>
      </c>
      <c r="E531" s="36">
        <f>E12*108</f>
        <v>7992</v>
      </c>
      <c r="F531" s="36">
        <f t="shared" si="36"/>
        <v>7592.4</v>
      </c>
      <c r="G531" s="26">
        <f t="shared" si="37"/>
        <v>7192.8</v>
      </c>
      <c r="H531" s="26">
        <f t="shared" si="38"/>
        <v>6793.2</v>
      </c>
    </row>
    <row r="532" spans="1:8" s="29" customFormat="1" x14ac:dyDescent="0.2">
      <c r="A532" s="31">
        <f t="shared" si="39"/>
        <v>518</v>
      </c>
      <c r="B532" s="32">
        <v>411104</v>
      </c>
      <c r="C532" s="32" t="s">
        <v>1600</v>
      </c>
      <c r="D532" s="30" t="s">
        <v>1599</v>
      </c>
      <c r="E532" s="36">
        <f>E12*108</f>
        <v>7992</v>
      </c>
      <c r="F532" s="36">
        <f t="shared" si="36"/>
        <v>7592.4</v>
      </c>
      <c r="G532" s="26">
        <f t="shared" si="37"/>
        <v>7192.8</v>
      </c>
      <c r="H532" s="26">
        <f t="shared" si="38"/>
        <v>6793.2</v>
      </c>
    </row>
    <row r="533" spans="1:8" s="29" customFormat="1" x14ac:dyDescent="0.2">
      <c r="A533" s="31">
        <f t="shared" si="39"/>
        <v>519</v>
      </c>
      <c r="B533" s="32">
        <v>411105</v>
      </c>
      <c r="C533" s="32">
        <v>9700514020</v>
      </c>
      <c r="D533" s="30" t="s">
        <v>1601</v>
      </c>
      <c r="E533" s="36">
        <f>E12*84.2</f>
        <v>6230.8</v>
      </c>
      <c r="F533" s="36">
        <f t="shared" si="36"/>
        <v>5919.26</v>
      </c>
      <c r="G533" s="26">
        <f t="shared" si="37"/>
        <v>5607.72</v>
      </c>
      <c r="H533" s="26">
        <f t="shared" si="38"/>
        <v>5296.18</v>
      </c>
    </row>
    <row r="534" spans="1:8" s="29" customFormat="1" x14ac:dyDescent="0.2">
      <c r="A534" s="31">
        <f t="shared" si="39"/>
        <v>520</v>
      </c>
      <c r="B534" s="32">
        <v>411109</v>
      </c>
      <c r="C534" s="32" t="s">
        <v>1605</v>
      </c>
      <c r="D534" s="30" t="s">
        <v>1604</v>
      </c>
      <c r="E534" s="36">
        <f>E12*54</f>
        <v>3996</v>
      </c>
      <c r="F534" s="36">
        <f t="shared" si="36"/>
        <v>3796.2</v>
      </c>
      <c r="G534" s="26">
        <f t="shared" si="37"/>
        <v>3596.4</v>
      </c>
      <c r="H534" s="26">
        <f>E534-E534*15%</f>
        <v>3396.6</v>
      </c>
    </row>
    <row r="535" spans="1:8" s="29" customFormat="1" x14ac:dyDescent="0.2">
      <c r="A535" s="31">
        <f t="shared" si="39"/>
        <v>521</v>
      </c>
      <c r="B535" s="32" t="s">
        <v>1617</v>
      </c>
      <c r="C535" s="32" t="s">
        <v>1619</v>
      </c>
      <c r="D535" s="30" t="s">
        <v>1618</v>
      </c>
      <c r="E535" s="36">
        <f>E12*90</f>
        <v>6660</v>
      </c>
      <c r="F535" s="36">
        <f t="shared" si="36"/>
        <v>6327</v>
      </c>
      <c r="G535" s="26">
        <f t="shared" si="37"/>
        <v>5994</v>
      </c>
      <c r="H535" s="26">
        <f>E535-E535*15%</f>
        <v>5661</v>
      </c>
    </row>
    <row r="536" spans="1:8" s="29" customFormat="1" x14ac:dyDescent="0.2">
      <c r="A536" s="31">
        <f t="shared" si="39"/>
        <v>522</v>
      </c>
      <c r="B536" s="32">
        <v>408100</v>
      </c>
      <c r="C536" s="32" t="s">
        <v>1623</v>
      </c>
      <c r="D536" s="30" t="s">
        <v>1622</v>
      </c>
      <c r="E536" s="36">
        <f>E12*87</f>
        <v>6438</v>
      </c>
      <c r="F536" s="36">
        <f t="shared" si="36"/>
        <v>6116.1</v>
      </c>
      <c r="G536" s="26">
        <f t="shared" si="37"/>
        <v>5794.2</v>
      </c>
      <c r="H536" s="26">
        <f>E536-E536*15%</f>
        <v>5472.3</v>
      </c>
    </row>
    <row r="537" spans="1:8" s="29" customFormat="1" x14ac:dyDescent="0.2">
      <c r="A537" s="31">
        <f t="shared" si="39"/>
        <v>523</v>
      </c>
      <c r="B537" s="32">
        <v>246208</v>
      </c>
      <c r="C537" s="32">
        <v>81307256053</v>
      </c>
      <c r="D537" s="30" t="s">
        <v>1624</v>
      </c>
      <c r="E537" s="36">
        <f>E12*129.69</f>
        <v>9597.06</v>
      </c>
      <c r="F537" s="36">
        <f t="shared" si="36"/>
        <v>9117.2070000000003</v>
      </c>
      <c r="G537" s="26">
        <f t="shared" si="37"/>
        <v>8637.3539999999994</v>
      </c>
      <c r="H537" s="26">
        <f>E537-E537*15%</f>
        <v>8157.5009999999993</v>
      </c>
    </row>
    <row r="538" spans="1:8" x14ac:dyDescent="0.2">
      <c r="A538" s="31">
        <f t="shared" si="39"/>
        <v>524</v>
      </c>
      <c r="B538" s="9" t="s">
        <v>1174</v>
      </c>
      <c r="C538" s="32">
        <v>4421300720</v>
      </c>
      <c r="D538" s="1" t="s">
        <v>1662</v>
      </c>
      <c r="E538" s="36">
        <f>E12*41.86</f>
        <v>3097.64</v>
      </c>
      <c r="F538" s="36">
        <f t="shared" si="36"/>
        <v>2942.7579999999998</v>
      </c>
      <c r="G538" s="26">
        <f t="shared" si="37"/>
        <v>2787.8759999999997</v>
      </c>
      <c r="H538" s="26">
        <f t="shared" si="38"/>
        <v>2632.9939999999997</v>
      </c>
    </row>
    <row r="539" spans="1:8" x14ac:dyDescent="0.2">
      <c r="A539" s="31">
        <f t="shared" si="39"/>
        <v>525</v>
      </c>
      <c r="B539" s="9" t="s">
        <v>822</v>
      </c>
      <c r="C539" s="32">
        <v>4421301120</v>
      </c>
      <c r="D539" s="1" t="s">
        <v>1664</v>
      </c>
      <c r="E539" s="36">
        <f>E12*41.85</f>
        <v>3096.9</v>
      </c>
      <c r="F539" s="36">
        <f t="shared" si="36"/>
        <v>2942.0550000000003</v>
      </c>
      <c r="G539" s="26">
        <f t="shared" si="37"/>
        <v>2787.21</v>
      </c>
      <c r="H539" s="26">
        <f t="shared" si="38"/>
        <v>2632.3650000000002</v>
      </c>
    </row>
    <row r="540" spans="1:8" x14ac:dyDescent="0.2">
      <c r="A540" s="31">
        <f t="shared" si="39"/>
        <v>526</v>
      </c>
      <c r="B540" s="9" t="s">
        <v>1045</v>
      </c>
      <c r="C540" s="32">
        <v>4411300020</v>
      </c>
      <c r="D540" s="1" t="s">
        <v>1663</v>
      </c>
      <c r="E540" s="36">
        <f>E12*42.75</f>
        <v>3163.5</v>
      </c>
      <c r="F540" s="36">
        <f t="shared" si="36"/>
        <v>3005.3249999999998</v>
      </c>
      <c r="G540" s="26">
        <f t="shared" si="37"/>
        <v>2847.15</v>
      </c>
      <c r="H540" s="26">
        <f t="shared" si="38"/>
        <v>2688.9749999999999</v>
      </c>
    </row>
    <row r="541" spans="1:8" x14ac:dyDescent="0.2">
      <c r="A541" s="31">
        <f t="shared" si="39"/>
        <v>527</v>
      </c>
      <c r="B541" s="9" t="s">
        <v>383</v>
      </c>
      <c r="C541" s="32" t="s">
        <v>1666</v>
      </c>
      <c r="D541" s="1" t="s">
        <v>1665</v>
      </c>
      <c r="E541" s="36">
        <f>E12*60</f>
        <v>4440</v>
      </c>
      <c r="F541" s="36">
        <f t="shared" si="36"/>
        <v>4218</v>
      </c>
      <c r="G541" s="26">
        <f t="shared" si="37"/>
        <v>3996</v>
      </c>
      <c r="H541" s="26">
        <f t="shared" si="38"/>
        <v>3774</v>
      </c>
    </row>
    <row r="542" spans="1:8" x14ac:dyDescent="0.2">
      <c r="A542" s="31">
        <f t="shared" si="39"/>
        <v>528</v>
      </c>
      <c r="B542" s="9" t="s">
        <v>912</v>
      </c>
      <c r="C542" s="32" t="s">
        <v>1668</v>
      </c>
      <c r="D542" s="1" t="s">
        <v>1667</v>
      </c>
      <c r="E542" s="36">
        <f>E12*31.1</f>
        <v>2301.4</v>
      </c>
      <c r="F542" s="36">
        <f t="shared" si="36"/>
        <v>2186.33</v>
      </c>
      <c r="G542" s="26">
        <f t="shared" si="37"/>
        <v>2071.2600000000002</v>
      </c>
      <c r="H542" s="26">
        <f t="shared" si="38"/>
        <v>1956.19</v>
      </c>
    </row>
    <row r="543" spans="1:8" ht="12.75" customHeight="1" x14ac:dyDescent="0.2">
      <c r="A543" s="31">
        <f t="shared" si="39"/>
        <v>529</v>
      </c>
      <c r="B543" s="9" t="s">
        <v>177</v>
      </c>
      <c r="C543" s="41">
        <v>81436010056</v>
      </c>
      <c r="D543" s="1" t="s">
        <v>1669</v>
      </c>
      <c r="E543" s="36">
        <f>E12*48.1</f>
        <v>3559.4</v>
      </c>
      <c r="F543" s="36">
        <f t="shared" si="36"/>
        <v>3381.4300000000003</v>
      </c>
      <c r="G543" s="26">
        <f t="shared" si="37"/>
        <v>3203.46</v>
      </c>
      <c r="H543" s="26">
        <f t="shared" si="38"/>
        <v>3025.4900000000002</v>
      </c>
    </row>
    <row r="544" spans="1:8" x14ac:dyDescent="0.2">
      <c r="A544" s="31">
        <f t="shared" si="39"/>
        <v>530</v>
      </c>
      <c r="B544" s="9" t="s">
        <v>178</v>
      </c>
      <c r="C544" s="32" t="s">
        <v>1671</v>
      </c>
      <c r="D544" s="1" t="s">
        <v>1670</v>
      </c>
      <c r="E544" s="36">
        <f>E12*22.82</f>
        <v>1688.68</v>
      </c>
      <c r="F544" s="36">
        <f t="shared" si="36"/>
        <v>1604.2460000000001</v>
      </c>
      <c r="G544" s="26">
        <f t="shared" si="37"/>
        <v>1519.8120000000001</v>
      </c>
      <c r="H544" s="26">
        <f t="shared" si="38"/>
        <v>1435.3780000000002</v>
      </c>
    </row>
    <row r="545" spans="1:8" x14ac:dyDescent="0.2">
      <c r="A545" s="31">
        <f t="shared" si="39"/>
        <v>531</v>
      </c>
      <c r="B545" s="9" t="s">
        <v>179</v>
      </c>
      <c r="C545" s="32" t="s">
        <v>1673</v>
      </c>
      <c r="D545" s="1" t="s">
        <v>1672</v>
      </c>
      <c r="E545" s="36">
        <f>E12*16.7</f>
        <v>1235.8</v>
      </c>
      <c r="F545" s="36">
        <f t="shared" si="36"/>
        <v>1174.01</v>
      </c>
      <c r="G545" s="26">
        <f t="shared" si="37"/>
        <v>1112.22</v>
      </c>
      <c r="H545" s="26">
        <f t="shared" si="38"/>
        <v>1050.43</v>
      </c>
    </row>
    <row r="546" spans="1:8" x14ac:dyDescent="0.2">
      <c r="A546" s="31">
        <f t="shared" si="39"/>
        <v>532</v>
      </c>
      <c r="B546" s="9" t="s">
        <v>180</v>
      </c>
      <c r="C546" s="32" t="s">
        <v>1675</v>
      </c>
      <c r="D546" s="1" t="s">
        <v>1674</v>
      </c>
      <c r="E546" s="36">
        <f>E12*26.48</f>
        <v>1959.52</v>
      </c>
      <c r="F546" s="36">
        <f t="shared" si="36"/>
        <v>1861.5439999999999</v>
      </c>
      <c r="G546" s="26">
        <f t="shared" si="37"/>
        <v>1763.568</v>
      </c>
      <c r="H546" s="26">
        <f t="shared" si="38"/>
        <v>1665.5920000000001</v>
      </c>
    </row>
    <row r="547" spans="1:8" x14ac:dyDescent="0.2">
      <c r="A547" s="31">
        <f t="shared" si="39"/>
        <v>533</v>
      </c>
      <c r="B547" s="9" t="s">
        <v>342</v>
      </c>
      <c r="C547" s="32">
        <v>3833270001</v>
      </c>
      <c r="D547" s="1" t="s">
        <v>1676</v>
      </c>
      <c r="E547" s="36">
        <f>E12*25.68</f>
        <v>1900.32</v>
      </c>
      <c r="F547" s="36">
        <f t="shared" si="36"/>
        <v>1805.3039999999999</v>
      </c>
      <c r="G547" s="26">
        <f t="shared" si="37"/>
        <v>1710.288</v>
      </c>
      <c r="H547" s="26">
        <f t="shared" si="38"/>
        <v>1615.2719999999999</v>
      </c>
    </row>
    <row r="548" spans="1:8" x14ac:dyDescent="0.2">
      <c r="A548" s="31">
        <f t="shared" si="39"/>
        <v>534</v>
      </c>
      <c r="B548" s="9" t="s">
        <v>359</v>
      </c>
      <c r="C548" s="32">
        <v>8143601013</v>
      </c>
      <c r="D548" s="1" t="s">
        <v>1677</v>
      </c>
      <c r="E548" s="36">
        <f>E12*43.25</f>
        <v>3200.5</v>
      </c>
      <c r="F548" s="36">
        <f t="shared" si="36"/>
        <v>3040.4749999999999</v>
      </c>
      <c r="G548" s="26">
        <f t="shared" si="37"/>
        <v>2880.45</v>
      </c>
      <c r="H548" s="26">
        <f t="shared" si="38"/>
        <v>2720.4250000000002</v>
      </c>
    </row>
    <row r="549" spans="1:8" x14ac:dyDescent="0.2">
      <c r="A549" s="31">
        <f t="shared" si="39"/>
        <v>535</v>
      </c>
      <c r="B549" s="9" t="s">
        <v>343</v>
      </c>
      <c r="C549" s="32">
        <v>5000819517</v>
      </c>
      <c r="D549" s="1" t="s">
        <v>1678</v>
      </c>
      <c r="E549" s="36">
        <f>E12*31.9</f>
        <v>2360.6</v>
      </c>
      <c r="F549" s="36">
        <f t="shared" si="36"/>
        <v>2242.5699999999997</v>
      </c>
      <c r="G549" s="26">
        <f t="shared" si="37"/>
        <v>2124.54</v>
      </c>
      <c r="H549" s="26">
        <f t="shared" si="38"/>
        <v>2006.51</v>
      </c>
    </row>
    <row r="550" spans="1:8" x14ac:dyDescent="0.2">
      <c r="A550" s="31">
        <f t="shared" si="39"/>
        <v>536</v>
      </c>
      <c r="B550" s="9" t="s">
        <v>344</v>
      </c>
      <c r="C550" s="32">
        <v>81436010033</v>
      </c>
      <c r="D550" s="1" t="s">
        <v>1679</v>
      </c>
      <c r="E550" s="36">
        <f>E12*38</f>
        <v>2812</v>
      </c>
      <c r="F550" s="36">
        <f t="shared" si="36"/>
        <v>2671.4</v>
      </c>
      <c r="G550" s="26">
        <f t="shared" si="37"/>
        <v>2530.8000000000002</v>
      </c>
      <c r="H550" s="26">
        <f t="shared" si="38"/>
        <v>2390.1999999999998</v>
      </c>
    </row>
    <row r="551" spans="1:8" x14ac:dyDescent="0.2">
      <c r="A551" s="31">
        <f t="shared" si="39"/>
        <v>537</v>
      </c>
      <c r="B551" s="9" t="s">
        <v>360</v>
      </c>
      <c r="C551" s="32">
        <v>4731013000</v>
      </c>
      <c r="D551" s="1" t="s">
        <v>1680</v>
      </c>
      <c r="E551" s="36">
        <f>E12*48</f>
        <v>3552</v>
      </c>
      <c r="F551" s="36">
        <f t="shared" si="36"/>
        <v>3374.4</v>
      </c>
      <c r="G551" s="26">
        <f t="shared" si="37"/>
        <v>3196.8</v>
      </c>
      <c r="H551" s="26">
        <f t="shared" si="38"/>
        <v>3019.2</v>
      </c>
    </row>
    <row r="552" spans="1:8" x14ac:dyDescent="0.2">
      <c r="A552" s="31">
        <f t="shared" si="39"/>
        <v>538</v>
      </c>
      <c r="B552" s="9" t="s">
        <v>345</v>
      </c>
      <c r="C552" s="32" t="s">
        <v>1682</v>
      </c>
      <c r="D552" s="1" t="s">
        <v>1681</v>
      </c>
      <c r="E552" s="36">
        <f>E12*22.08</f>
        <v>1633.9199999999998</v>
      </c>
      <c r="F552" s="36">
        <f t="shared" si="36"/>
        <v>1552.2239999999999</v>
      </c>
      <c r="G552" s="26">
        <f t="shared" si="37"/>
        <v>1470.5279999999998</v>
      </c>
      <c r="H552" s="26">
        <f t="shared" si="38"/>
        <v>1388.8319999999999</v>
      </c>
    </row>
    <row r="553" spans="1:8" x14ac:dyDescent="0.2">
      <c r="A553" s="31">
        <f t="shared" si="39"/>
        <v>539</v>
      </c>
      <c r="B553" s="9" t="s">
        <v>366</v>
      </c>
      <c r="C553" s="32">
        <v>8143601006</v>
      </c>
      <c r="D553" s="1" t="s">
        <v>1683</v>
      </c>
      <c r="E553" s="36">
        <f>E12*37.85</f>
        <v>2800.9</v>
      </c>
      <c r="F553" s="36">
        <f t="shared" si="36"/>
        <v>2660.855</v>
      </c>
      <c r="G553" s="26">
        <f t="shared" si="37"/>
        <v>2520.81</v>
      </c>
      <c r="H553" s="26">
        <f t="shared" si="38"/>
        <v>2380.7650000000003</v>
      </c>
    </row>
    <row r="554" spans="1:8" x14ac:dyDescent="0.2">
      <c r="A554" s="31">
        <f t="shared" si="39"/>
        <v>540</v>
      </c>
      <c r="B554" s="9" t="s">
        <v>358</v>
      </c>
      <c r="C554" s="32">
        <v>81436010126</v>
      </c>
      <c r="D554" s="1" t="s">
        <v>1684</v>
      </c>
      <c r="E554" s="36">
        <f>E12*34.75</f>
        <v>2571.5</v>
      </c>
      <c r="F554" s="36">
        <f t="shared" si="36"/>
        <v>2442.9250000000002</v>
      </c>
      <c r="G554" s="26">
        <f t="shared" si="37"/>
        <v>2314.35</v>
      </c>
      <c r="H554" s="26">
        <f t="shared" si="38"/>
        <v>2185.7750000000001</v>
      </c>
    </row>
    <row r="555" spans="1:8" x14ac:dyDescent="0.2">
      <c r="A555" s="31">
        <f t="shared" si="39"/>
        <v>541</v>
      </c>
      <c r="B555" s="9" t="s">
        <v>346</v>
      </c>
      <c r="C555" s="32">
        <v>3116354</v>
      </c>
      <c r="D555" s="1" t="s">
        <v>1685</v>
      </c>
      <c r="E555" s="36">
        <f>E12*23</f>
        <v>1702</v>
      </c>
      <c r="F555" s="36">
        <f t="shared" si="36"/>
        <v>1616.9</v>
      </c>
      <c r="G555" s="26">
        <f t="shared" si="37"/>
        <v>1531.8</v>
      </c>
      <c r="H555" s="26">
        <f t="shared" si="38"/>
        <v>1446.7</v>
      </c>
    </row>
    <row r="556" spans="1:8" x14ac:dyDescent="0.2">
      <c r="A556" s="31">
        <f t="shared" si="39"/>
        <v>542</v>
      </c>
      <c r="B556" s="9" t="s">
        <v>318</v>
      </c>
      <c r="C556" s="32" t="s">
        <v>1686</v>
      </c>
      <c r="D556" s="1" t="s">
        <v>1687</v>
      </c>
      <c r="E556" s="36">
        <f>E12*33.8</f>
        <v>2501.1999999999998</v>
      </c>
      <c r="F556" s="36">
        <f t="shared" si="36"/>
        <v>2376.14</v>
      </c>
      <c r="G556" s="26">
        <f t="shared" si="37"/>
        <v>2251.08</v>
      </c>
      <c r="H556" s="26">
        <f t="shared" si="38"/>
        <v>2126.02</v>
      </c>
    </row>
    <row r="557" spans="1:8" x14ac:dyDescent="0.2">
      <c r="A557" s="31">
        <f t="shared" si="39"/>
        <v>543</v>
      </c>
      <c r="B557" s="9" t="s">
        <v>306</v>
      </c>
      <c r="C557" s="32" t="s">
        <v>1689</v>
      </c>
      <c r="D557" s="1" t="s">
        <v>1688</v>
      </c>
      <c r="E557" s="36">
        <f>E12*100</f>
        <v>7400</v>
      </c>
      <c r="F557" s="36">
        <f t="shared" si="36"/>
        <v>7030</v>
      </c>
      <c r="G557" s="26">
        <f t="shared" si="37"/>
        <v>6660</v>
      </c>
      <c r="H557" s="26">
        <f t="shared" si="38"/>
        <v>6290</v>
      </c>
    </row>
    <row r="558" spans="1:8" x14ac:dyDescent="0.2">
      <c r="A558" s="31">
        <f t="shared" si="39"/>
        <v>544</v>
      </c>
      <c r="B558" s="9" t="s">
        <v>307</v>
      </c>
      <c r="C558" s="32" t="s">
        <v>1691</v>
      </c>
      <c r="D558" s="1" t="s">
        <v>1690</v>
      </c>
      <c r="E558" s="36">
        <f>E12*59.61</f>
        <v>4411.1400000000003</v>
      </c>
      <c r="F558" s="36">
        <f t="shared" si="36"/>
        <v>4190.5830000000005</v>
      </c>
      <c r="G558" s="26">
        <f t="shared" si="37"/>
        <v>3970.0260000000003</v>
      </c>
      <c r="H558" s="26">
        <f t="shared" si="38"/>
        <v>3749.4690000000001</v>
      </c>
    </row>
    <row r="559" spans="1:8" x14ac:dyDescent="0.2">
      <c r="A559" s="31">
        <f t="shared" si="39"/>
        <v>545</v>
      </c>
      <c r="B559" s="9">
        <v>178305</v>
      </c>
      <c r="C559" s="32" t="s">
        <v>1693</v>
      </c>
      <c r="D559" s="1" t="s">
        <v>1692</v>
      </c>
      <c r="E559" s="36">
        <f>E12*60.3</f>
        <v>4462.2</v>
      </c>
      <c r="F559" s="36">
        <f t="shared" si="36"/>
        <v>4239.09</v>
      </c>
      <c r="G559" s="26">
        <f t="shared" si="37"/>
        <v>4015.9799999999996</v>
      </c>
      <c r="H559" s="26">
        <f t="shared" si="38"/>
        <v>3792.87</v>
      </c>
    </row>
    <row r="560" spans="1:8" x14ac:dyDescent="0.2">
      <c r="A560" s="31">
        <f t="shared" si="39"/>
        <v>546</v>
      </c>
      <c r="B560" s="9" t="s">
        <v>308</v>
      </c>
      <c r="C560" s="32" t="s">
        <v>1695</v>
      </c>
      <c r="D560" s="1" t="s">
        <v>1694</v>
      </c>
      <c r="E560" s="36">
        <f>E12*95.58</f>
        <v>7072.92</v>
      </c>
      <c r="F560" s="36">
        <f t="shared" si="36"/>
        <v>6719.2740000000003</v>
      </c>
      <c r="G560" s="26">
        <f t="shared" si="37"/>
        <v>6365.6279999999997</v>
      </c>
      <c r="H560" s="26">
        <f t="shared" si="38"/>
        <v>6011.982</v>
      </c>
    </row>
    <row r="561" spans="1:8" x14ac:dyDescent="0.2">
      <c r="A561" s="31">
        <f t="shared" si="39"/>
        <v>547</v>
      </c>
      <c r="B561" s="9" t="s">
        <v>309</v>
      </c>
      <c r="C561" s="32" t="s">
        <v>1697</v>
      </c>
      <c r="D561" s="1" t="s">
        <v>1696</v>
      </c>
      <c r="E561" s="36">
        <f>E12*95.58</f>
        <v>7072.92</v>
      </c>
      <c r="F561" s="36">
        <f t="shared" si="36"/>
        <v>6719.2740000000003</v>
      </c>
      <c r="G561" s="26">
        <f t="shared" si="37"/>
        <v>6365.6279999999997</v>
      </c>
      <c r="H561" s="26">
        <f t="shared" si="38"/>
        <v>6011.982</v>
      </c>
    </row>
    <row r="562" spans="1:8" x14ac:dyDescent="0.2">
      <c r="A562" s="31">
        <f t="shared" si="39"/>
        <v>548</v>
      </c>
      <c r="B562" s="9" t="s">
        <v>1162</v>
      </c>
      <c r="C562" s="32">
        <v>81264106098</v>
      </c>
      <c r="D562" s="1" t="s">
        <v>1698</v>
      </c>
      <c r="E562" s="36">
        <f>E12*40.95</f>
        <v>3030.3</v>
      </c>
      <c r="F562" s="36">
        <f t="shared" si="36"/>
        <v>2878.7850000000003</v>
      </c>
      <c r="G562" s="26">
        <f t="shared" si="37"/>
        <v>2727.27</v>
      </c>
      <c r="H562" s="26">
        <f t="shared" si="38"/>
        <v>2575.7550000000001</v>
      </c>
    </row>
    <row r="563" spans="1:8" x14ac:dyDescent="0.2">
      <c r="A563" s="31">
        <f t="shared" si="39"/>
        <v>549</v>
      </c>
      <c r="B563" s="9" t="s">
        <v>1163</v>
      </c>
      <c r="C563" s="32">
        <v>81264300099</v>
      </c>
      <c r="D563" s="1" t="s">
        <v>1699</v>
      </c>
      <c r="E563" s="36">
        <f>E12*40.95</f>
        <v>3030.3</v>
      </c>
      <c r="F563" s="36">
        <f t="shared" si="36"/>
        <v>2878.7850000000003</v>
      </c>
      <c r="G563" s="26">
        <f t="shared" si="37"/>
        <v>2727.27</v>
      </c>
      <c r="H563" s="26">
        <f t="shared" si="38"/>
        <v>2575.7550000000001</v>
      </c>
    </row>
    <row r="564" spans="1:8" x14ac:dyDescent="0.2">
      <c r="A564" s="31">
        <f t="shared" si="39"/>
        <v>550</v>
      </c>
      <c r="B564" s="9" t="s">
        <v>1004</v>
      </c>
      <c r="C564" s="32"/>
      <c r="D564" s="1" t="s">
        <v>1700</v>
      </c>
      <c r="E564" s="36">
        <f>E12*100</f>
        <v>7400</v>
      </c>
      <c r="F564" s="36">
        <f t="shared" si="36"/>
        <v>7030</v>
      </c>
      <c r="G564" s="26">
        <f t="shared" si="37"/>
        <v>6660</v>
      </c>
      <c r="H564" s="26">
        <f t="shared" si="38"/>
        <v>6290</v>
      </c>
    </row>
    <row r="565" spans="1:8" x14ac:dyDescent="0.2">
      <c r="A565" s="31">
        <f t="shared" si="39"/>
        <v>551</v>
      </c>
      <c r="B565" s="9" t="s">
        <v>1061</v>
      </c>
      <c r="C565" s="32"/>
      <c r="D565" s="1" t="s">
        <v>1701</v>
      </c>
      <c r="E565" s="36">
        <f>E12*81.9</f>
        <v>6060.6</v>
      </c>
      <c r="F565" s="36">
        <f t="shared" si="36"/>
        <v>5757.5700000000006</v>
      </c>
      <c r="G565" s="26">
        <f t="shared" si="37"/>
        <v>5454.54</v>
      </c>
      <c r="H565" s="26">
        <f t="shared" si="38"/>
        <v>5151.51</v>
      </c>
    </row>
    <row r="566" spans="1:8" x14ac:dyDescent="0.2">
      <c r="A566" s="31">
        <f t="shared" si="39"/>
        <v>552</v>
      </c>
      <c r="B566" s="9" t="s">
        <v>867</v>
      </c>
      <c r="C566" s="32">
        <v>51930200335</v>
      </c>
      <c r="D566" s="1" t="s">
        <v>1702</v>
      </c>
      <c r="E566" s="36">
        <f>E12*24.87</f>
        <v>1840.38</v>
      </c>
      <c r="F566" s="36">
        <f t="shared" si="36"/>
        <v>1748.3610000000001</v>
      </c>
      <c r="G566" s="26">
        <f t="shared" si="37"/>
        <v>1656.3420000000001</v>
      </c>
      <c r="H566" s="26">
        <f t="shared" si="38"/>
        <v>1564.3230000000001</v>
      </c>
    </row>
    <row r="567" spans="1:8" x14ac:dyDescent="0.2">
      <c r="A567" s="31">
        <f t="shared" si="39"/>
        <v>553</v>
      </c>
      <c r="B567" s="9" t="s">
        <v>1018</v>
      </c>
      <c r="C567" s="32" t="s">
        <v>1704</v>
      </c>
      <c r="D567" s="1" t="s">
        <v>1703</v>
      </c>
      <c r="E567" s="36">
        <f>E12*30.5</f>
        <v>2257</v>
      </c>
      <c r="F567" s="36">
        <f t="shared" si="36"/>
        <v>2144.15</v>
      </c>
      <c r="G567" s="26">
        <f t="shared" si="37"/>
        <v>2031.3</v>
      </c>
      <c r="H567" s="26">
        <f t="shared" si="38"/>
        <v>1918.45</v>
      </c>
    </row>
    <row r="568" spans="1:8" x14ac:dyDescent="0.2">
      <c r="A568" s="31">
        <f t="shared" si="39"/>
        <v>554</v>
      </c>
      <c r="B568" s="9" t="s">
        <v>1222</v>
      </c>
      <c r="C568" s="32" t="s">
        <v>1706</v>
      </c>
      <c r="D568" s="1" t="s">
        <v>1705</v>
      </c>
      <c r="E568" s="36">
        <f>E12*48.55</f>
        <v>3592.7</v>
      </c>
      <c r="F568" s="36">
        <f t="shared" si="36"/>
        <v>3413.0649999999996</v>
      </c>
      <c r="G568" s="26">
        <f t="shared" si="37"/>
        <v>3233.43</v>
      </c>
      <c r="H568" s="26">
        <f t="shared" si="38"/>
        <v>3053.7950000000001</v>
      </c>
    </row>
    <row r="569" spans="1:8" x14ac:dyDescent="0.2">
      <c r="A569" s="31">
        <f t="shared" si="39"/>
        <v>555</v>
      </c>
      <c r="B569" s="9" t="s">
        <v>953</v>
      </c>
      <c r="C569" s="32" t="s">
        <v>1708</v>
      </c>
      <c r="D569" s="1" t="s">
        <v>1707</v>
      </c>
      <c r="E569" s="36">
        <f>E12*12.74</f>
        <v>942.76</v>
      </c>
      <c r="F569" s="36">
        <f t="shared" si="36"/>
        <v>895.62199999999996</v>
      </c>
      <c r="G569" s="26">
        <f t="shared" si="37"/>
        <v>848.48399999999992</v>
      </c>
      <c r="H569" s="26">
        <f t="shared" si="38"/>
        <v>801.346</v>
      </c>
    </row>
    <row r="570" spans="1:8" x14ac:dyDescent="0.2">
      <c r="A570" s="31">
        <f t="shared" si="39"/>
        <v>556</v>
      </c>
      <c r="B570" s="9" t="s">
        <v>1177</v>
      </c>
      <c r="C570" s="32" t="s">
        <v>1710</v>
      </c>
      <c r="D570" s="1" t="s">
        <v>1709</v>
      </c>
      <c r="E570" s="36">
        <f>E12*84.63</f>
        <v>6262.62</v>
      </c>
      <c r="F570" s="36">
        <f t="shared" si="36"/>
        <v>5949.4889999999996</v>
      </c>
      <c r="G570" s="26">
        <f t="shared" si="37"/>
        <v>5636.3580000000002</v>
      </c>
      <c r="H570" s="26">
        <f t="shared" si="38"/>
        <v>5323.2269999999999</v>
      </c>
    </row>
    <row r="571" spans="1:8" x14ac:dyDescent="0.2">
      <c r="A571" s="31">
        <f t="shared" si="39"/>
        <v>557</v>
      </c>
      <c r="B571" s="9" t="s">
        <v>133</v>
      </c>
      <c r="C571" s="32" t="s">
        <v>1712</v>
      </c>
      <c r="D571" s="1" t="s">
        <v>1711</v>
      </c>
      <c r="E571" s="36">
        <f>E12*36.4</f>
        <v>2693.6</v>
      </c>
      <c r="F571" s="36">
        <f t="shared" si="36"/>
        <v>2558.92</v>
      </c>
      <c r="G571" s="26">
        <f t="shared" si="37"/>
        <v>2424.2399999999998</v>
      </c>
      <c r="H571" s="26">
        <f t="shared" si="38"/>
        <v>2289.56</v>
      </c>
    </row>
    <row r="572" spans="1:8" x14ac:dyDescent="0.2">
      <c r="A572" s="31">
        <f t="shared" si="39"/>
        <v>558</v>
      </c>
      <c r="B572" s="9" t="s">
        <v>1224</v>
      </c>
      <c r="C572" s="32">
        <v>6691130500</v>
      </c>
      <c r="D572" s="1" t="s">
        <v>1713</v>
      </c>
      <c r="E572" s="36">
        <f>E12*49.15</f>
        <v>3637.1</v>
      </c>
      <c r="F572" s="36">
        <f t="shared" si="36"/>
        <v>3455.2449999999999</v>
      </c>
      <c r="G572" s="26">
        <f t="shared" si="37"/>
        <v>3273.39</v>
      </c>
      <c r="H572" s="26">
        <f t="shared" si="38"/>
        <v>3091.5349999999999</v>
      </c>
    </row>
    <row r="573" spans="1:8" x14ac:dyDescent="0.2">
      <c r="A573" s="31">
        <f t="shared" si="39"/>
        <v>559</v>
      </c>
      <c r="B573" s="9" t="s">
        <v>298</v>
      </c>
      <c r="C573" s="32" t="s">
        <v>1715</v>
      </c>
      <c r="D573" s="1" t="s">
        <v>1714</v>
      </c>
      <c r="E573" s="36">
        <f>E12*34.7</f>
        <v>2567.8000000000002</v>
      </c>
      <c r="F573" s="36">
        <f t="shared" si="36"/>
        <v>2439.4100000000003</v>
      </c>
      <c r="G573" s="26">
        <f t="shared" si="37"/>
        <v>2311.02</v>
      </c>
      <c r="H573" s="26">
        <f t="shared" si="38"/>
        <v>2182.63</v>
      </c>
    </row>
    <row r="574" spans="1:8" x14ac:dyDescent="0.2">
      <c r="A574" s="31">
        <f t="shared" si="39"/>
        <v>560</v>
      </c>
      <c r="B574" s="9" t="s">
        <v>299</v>
      </c>
      <c r="C574" s="32" t="s">
        <v>1717</v>
      </c>
      <c r="D574" s="1" t="s">
        <v>1716</v>
      </c>
      <c r="E574" s="36">
        <f>E12*53.05</f>
        <v>3925.7</v>
      </c>
      <c r="F574" s="36">
        <f t="shared" si="36"/>
        <v>3729.415</v>
      </c>
      <c r="G574" s="26">
        <f t="shared" si="37"/>
        <v>3533.1299999999997</v>
      </c>
      <c r="H574" s="26">
        <f t="shared" si="38"/>
        <v>3336.8449999999998</v>
      </c>
    </row>
    <row r="575" spans="1:8" x14ac:dyDescent="0.2">
      <c r="A575" s="31">
        <f t="shared" si="39"/>
        <v>561</v>
      </c>
      <c r="B575" s="9" t="s">
        <v>300</v>
      </c>
      <c r="C575" s="32" t="s">
        <v>1719</v>
      </c>
      <c r="D575" s="1" t="s">
        <v>1718</v>
      </c>
      <c r="E575" s="36">
        <f>E12*18.31</f>
        <v>1354.9399999999998</v>
      </c>
      <c r="F575" s="36">
        <f t="shared" si="36"/>
        <v>1287.1929999999998</v>
      </c>
      <c r="G575" s="26">
        <f t="shared" si="37"/>
        <v>1219.4459999999999</v>
      </c>
      <c r="H575" s="26">
        <f t="shared" si="38"/>
        <v>1151.6989999999998</v>
      </c>
    </row>
    <row r="576" spans="1:8" x14ac:dyDescent="0.2">
      <c r="A576" s="31">
        <f t="shared" si="39"/>
        <v>562</v>
      </c>
      <c r="B576" s="9" t="s">
        <v>780</v>
      </c>
      <c r="C576" s="32" t="s">
        <v>1721</v>
      </c>
      <c r="D576" s="1" t="s">
        <v>1720</v>
      </c>
      <c r="E576" s="36">
        <f>E12*27.3</f>
        <v>2020.2</v>
      </c>
      <c r="F576" s="36">
        <f t="shared" si="36"/>
        <v>1919.19</v>
      </c>
      <c r="G576" s="26">
        <f t="shared" si="37"/>
        <v>1818.18</v>
      </c>
      <c r="H576" s="26">
        <f t="shared" si="38"/>
        <v>1717.17</v>
      </c>
    </row>
    <row r="577" spans="1:8" x14ac:dyDescent="0.2">
      <c r="A577" s="31">
        <f t="shared" si="39"/>
        <v>563</v>
      </c>
      <c r="B577" s="9" t="s">
        <v>872</v>
      </c>
      <c r="C577" s="32">
        <v>81324990003</v>
      </c>
      <c r="D577" s="1" t="s">
        <v>1722</v>
      </c>
      <c r="E577" s="36">
        <f>E12*17.75</f>
        <v>1313.5</v>
      </c>
      <c r="F577" s="36">
        <f t="shared" si="36"/>
        <v>1247.825</v>
      </c>
      <c r="G577" s="26">
        <f t="shared" si="37"/>
        <v>1182.1500000000001</v>
      </c>
      <c r="H577" s="26">
        <f t="shared" si="38"/>
        <v>1116.4749999999999</v>
      </c>
    </row>
    <row r="578" spans="1:8" x14ac:dyDescent="0.2">
      <c r="A578" s="31">
        <f t="shared" si="39"/>
        <v>564</v>
      </c>
      <c r="B578" s="9" t="s">
        <v>965</v>
      </c>
      <c r="C578" s="32" t="s">
        <v>1724</v>
      </c>
      <c r="D578" s="1" t="s">
        <v>1723</v>
      </c>
      <c r="E578" s="36">
        <f>E12*51.7</f>
        <v>3825.8</v>
      </c>
      <c r="F578" s="36">
        <f t="shared" si="36"/>
        <v>3634.51</v>
      </c>
      <c r="G578" s="26">
        <f t="shared" si="37"/>
        <v>3443.2200000000003</v>
      </c>
      <c r="H578" s="26">
        <f t="shared" si="38"/>
        <v>3251.9300000000003</v>
      </c>
    </row>
    <row r="579" spans="1:8" x14ac:dyDescent="0.2">
      <c r="A579" s="31">
        <f t="shared" si="39"/>
        <v>565</v>
      </c>
      <c r="B579" s="9" t="s">
        <v>301</v>
      </c>
      <c r="C579" s="32" t="s">
        <v>1726</v>
      </c>
      <c r="D579" s="1" t="s">
        <v>1725</v>
      </c>
      <c r="E579" s="36">
        <f>E12*28.96</f>
        <v>2143.04</v>
      </c>
      <c r="F579" s="36">
        <f t="shared" si="36"/>
        <v>2035.8879999999999</v>
      </c>
      <c r="G579" s="26">
        <f t="shared" si="37"/>
        <v>1928.7359999999999</v>
      </c>
      <c r="H579" s="26">
        <f t="shared" si="38"/>
        <v>1821.5840000000001</v>
      </c>
    </row>
    <row r="580" spans="1:8" x14ac:dyDescent="0.2">
      <c r="A580" s="31">
        <f t="shared" si="39"/>
        <v>566</v>
      </c>
      <c r="B580" s="9" t="s">
        <v>302</v>
      </c>
      <c r="C580" s="32" t="s">
        <v>1728</v>
      </c>
      <c r="D580" s="1" t="s">
        <v>1727</v>
      </c>
      <c r="E580" s="36">
        <f>E12*60.25</f>
        <v>4458.5</v>
      </c>
      <c r="F580" s="36">
        <f t="shared" si="36"/>
        <v>4235.5749999999998</v>
      </c>
      <c r="G580" s="26">
        <f t="shared" si="37"/>
        <v>4012.65</v>
      </c>
      <c r="H580" s="26">
        <f t="shared" si="38"/>
        <v>3789.7249999999999</v>
      </c>
    </row>
    <row r="581" spans="1:8" x14ac:dyDescent="0.2">
      <c r="A581" s="31">
        <f t="shared" si="39"/>
        <v>567</v>
      </c>
      <c r="B581" s="9" t="s">
        <v>303</v>
      </c>
      <c r="C581" s="32" t="s">
        <v>1730</v>
      </c>
      <c r="D581" s="1" t="s">
        <v>1729</v>
      </c>
      <c r="E581" s="36">
        <f>E12*23.95</f>
        <v>1772.3</v>
      </c>
      <c r="F581" s="36">
        <f t="shared" si="36"/>
        <v>1683.6849999999999</v>
      </c>
      <c r="G581" s="26">
        <f t="shared" si="37"/>
        <v>1595.07</v>
      </c>
      <c r="H581" s="26">
        <f t="shared" si="38"/>
        <v>1506.4549999999999</v>
      </c>
    </row>
    <row r="582" spans="1:8" x14ac:dyDescent="0.2">
      <c r="A582" s="31">
        <f t="shared" si="39"/>
        <v>568</v>
      </c>
      <c r="B582" s="9" t="s">
        <v>979</v>
      </c>
      <c r="C582" s="32" t="s">
        <v>1732</v>
      </c>
      <c r="D582" s="1" t="s">
        <v>1731</v>
      </c>
      <c r="E582" s="36">
        <f>E12*42.8</f>
        <v>3167.2</v>
      </c>
      <c r="F582" s="36">
        <f t="shared" si="36"/>
        <v>3008.8399999999997</v>
      </c>
      <c r="G582" s="26">
        <f t="shared" si="37"/>
        <v>2850.4799999999996</v>
      </c>
      <c r="H582" s="26">
        <f t="shared" si="38"/>
        <v>2692.12</v>
      </c>
    </row>
    <row r="583" spans="1:8" x14ac:dyDescent="0.2">
      <c r="A583" s="31">
        <f t="shared" si="39"/>
        <v>569</v>
      </c>
      <c r="B583" s="9" t="s">
        <v>304</v>
      </c>
      <c r="C583" s="32" t="s">
        <v>1734</v>
      </c>
      <c r="D583" s="1" t="s">
        <v>1733</v>
      </c>
      <c r="E583" s="36">
        <f>E12*62.02</f>
        <v>4589.4800000000005</v>
      </c>
      <c r="F583" s="36">
        <f t="shared" si="36"/>
        <v>4360.0060000000003</v>
      </c>
      <c r="G583" s="26">
        <f t="shared" si="37"/>
        <v>4130.5320000000002</v>
      </c>
      <c r="H583" s="26">
        <f t="shared" si="38"/>
        <v>3901.0580000000004</v>
      </c>
    </row>
    <row r="584" spans="1:8" x14ac:dyDescent="0.2">
      <c r="A584" s="31">
        <f t="shared" si="39"/>
        <v>570</v>
      </c>
      <c r="B584" s="9" t="s">
        <v>597</v>
      </c>
      <c r="C584" s="32" t="s">
        <v>1736</v>
      </c>
      <c r="D584" s="1" t="s">
        <v>1735</v>
      </c>
      <c r="E584" s="36">
        <f>E12*41.75</f>
        <v>3089.5</v>
      </c>
      <c r="F584" s="36">
        <f t="shared" si="36"/>
        <v>2935.0250000000001</v>
      </c>
      <c r="G584" s="26">
        <f t="shared" si="37"/>
        <v>2780.55</v>
      </c>
      <c r="H584" s="26">
        <f t="shared" si="38"/>
        <v>2626.0749999999998</v>
      </c>
    </row>
    <row r="585" spans="1:8" x14ac:dyDescent="0.2">
      <c r="A585" s="31">
        <f t="shared" si="39"/>
        <v>571</v>
      </c>
      <c r="B585" s="9" t="s">
        <v>786</v>
      </c>
      <c r="C585" s="32" t="s">
        <v>1738</v>
      </c>
      <c r="D585" s="1" t="s">
        <v>1737</v>
      </c>
      <c r="E585" s="36">
        <f>E12*27.9</f>
        <v>2064.6</v>
      </c>
      <c r="F585" s="36">
        <f t="shared" si="36"/>
        <v>1961.37</v>
      </c>
      <c r="G585" s="26">
        <f t="shared" si="37"/>
        <v>1858.1399999999999</v>
      </c>
      <c r="H585" s="26">
        <f t="shared" si="38"/>
        <v>1754.9099999999999</v>
      </c>
    </row>
    <row r="586" spans="1:8" x14ac:dyDescent="0.2">
      <c r="A586" s="31">
        <f t="shared" si="39"/>
        <v>572</v>
      </c>
      <c r="B586" s="9" t="s">
        <v>305</v>
      </c>
      <c r="C586" s="32">
        <v>98170074</v>
      </c>
      <c r="D586" s="1" t="s">
        <v>1739</v>
      </c>
      <c r="E586" s="36">
        <f>E12*51.7</f>
        <v>3825.8</v>
      </c>
      <c r="F586" s="36">
        <f t="shared" si="36"/>
        <v>3634.51</v>
      </c>
      <c r="G586" s="26">
        <f t="shared" si="37"/>
        <v>3443.2200000000003</v>
      </c>
      <c r="H586" s="26">
        <f t="shared" si="38"/>
        <v>3251.9300000000003</v>
      </c>
    </row>
    <row r="587" spans="1:8" x14ac:dyDescent="0.2">
      <c r="A587" s="31">
        <f t="shared" si="39"/>
        <v>573</v>
      </c>
      <c r="B587" s="9" t="s">
        <v>911</v>
      </c>
      <c r="C587" s="32">
        <v>518930</v>
      </c>
      <c r="D587" s="1" t="s">
        <v>1740</v>
      </c>
      <c r="E587" s="36">
        <f>E12*36.87</f>
        <v>2728.3799999999997</v>
      </c>
      <c r="F587" s="36">
        <f t="shared" ref="F587:F639" si="40">E587-E587*5%</f>
        <v>2591.9609999999998</v>
      </c>
      <c r="G587" s="26">
        <f t="shared" ref="G587:G639" si="41">E587-E587*10%</f>
        <v>2455.5419999999995</v>
      </c>
      <c r="H587" s="26">
        <f t="shared" ref="H587:H639" si="42">E587-E587*15%</f>
        <v>2319.1229999999996</v>
      </c>
    </row>
    <row r="588" spans="1:8" x14ac:dyDescent="0.2">
      <c r="A588" s="31">
        <f t="shared" si="39"/>
        <v>574</v>
      </c>
      <c r="B588" s="9" t="s">
        <v>462</v>
      </c>
      <c r="C588" s="32" t="s">
        <v>1742</v>
      </c>
      <c r="D588" s="1" t="s">
        <v>1741</v>
      </c>
      <c r="E588" s="36">
        <f>E12*48.96</f>
        <v>3623.04</v>
      </c>
      <c r="F588" s="36">
        <f t="shared" si="40"/>
        <v>3441.8879999999999</v>
      </c>
      <c r="G588" s="26">
        <f t="shared" si="41"/>
        <v>3260.7359999999999</v>
      </c>
      <c r="H588" s="26">
        <f t="shared" si="42"/>
        <v>3079.5839999999998</v>
      </c>
    </row>
    <row r="589" spans="1:8" x14ac:dyDescent="0.2">
      <c r="A589" s="31">
        <f t="shared" si="39"/>
        <v>575</v>
      </c>
      <c r="B589" s="9" t="s">
        <v>598</v>
      </c>
      <c r="C589" s="32" t="s">
        <v>1744</v>
      </c>
      <c r="D589" s="1" t="s">
        <v>1743</v>
      </c>
      <c r="E589" s="36">
        <f>E12*37.7</f>
        <v>2789.8</v>
      </c>
      <c r="F589" s="36">
        <f t="shared" si="40"/>
        <v>2650.3100000000004</v>
      </c>
      <c r="G589" s="26">
        <f t="shared" si="41"/>
        <v>2510.8200000000002</v>
      </c>
      <c r="H589" s="26">
        <f t="shared" si="42"/>
        <v>2371.33</v>
      </c>
    </row>
    <row r="590" spans="1:8" x14ac:dyDescent="0.2">
      <c r="A590" s="31">
        <f t="shared" si="39"/>
        <v>576</v>
      </c>
      <c r="B590" s="9" t="s">
        <v>720</v>
      </c>
      <c r="C590" s="32" t="s">
        <v>1745</v>
      </c>
      <c r="D590" s="1" t="s">
        <v>1746</v>
      </c>
      <c r="E590" s="36">
        <f>E12*67.65</f>
        <v>5006.1000000000004</v>
      </c>
      <c r="F590" s="36">
        <f t="shared" si="40"/>
        <v>4755.7950000000001</v>
      </c>
      <c r="G590" s="26">
        <f t="shared" si="41"/>
        <v>4505.4900000000007</v>
      </c>
      <c r="H590" s="26">
        <f t="shared" si="42"/>
        <v>4255.1850000000004</v>
      </c>
    </row>
    <row r="591" spans="1:8" x14ac:dyDescent="0.2">
      <c r="A591" s="31">
        <f t="shared" si="39"/>
        <v>577</v>
      </c>
      <c r="B591" s="9" t="s">
        <v>721</v>
      </c>
      <c r="C591" s="32" t="s">
        <v>1748</v>
      </c>
      <c r="D591" s="1" t="s">
        <v>1747</v>
      </c>
      <c r="E591" s="36">
        <f>E12*104.3</f>
        <v>7718.2</v>
      </c>
      <c r="F591" s="36">
        <f t="shared" si="40"/>
        <v>7332.29</v>
      </c>
      <c r="G591" s="26">
        <f t="shared" si="41"/>
        <v>6946.38</v>
      </c>
      <c r="H591" s="26">
        <f t="shared" si="42"/>
        <v>6560.4699999999993</v>
      </c>
    </row>
    <row r="592" spans="1:8" x14ac:dyDescent="0.2">
      <c r="A592" s="31">
        <f t="shared" si="39"/>
        <v>578</v>
      </c>
      <c r="B592" s="9" t="s">
        <v>722</v>
      </c>
      <c r="C592" s="32" t="s">
        <v>1750</v>
      </c>
      <c r="D592" s="1" t="s">
        <v>1749</v>
      </c>
      <c r="E592" s="36">
        <f>E12*104.3</f>
        <v>7718.2</v>
      </c>
      <c r="F592" s="36">
        <f t="shared" si="40"/>
        <v>7332.29</v>
      </c>
      <c r="G592" s="26">
        <f t="shared" si="41"/>
        <v>6946.38</v>
      </c>
      <c r="H592" s="26">
        <f t="shared" si="42"/>
        <v>6560.4699999999993</v>
      </c>
    </row>
    <row r="593" spans="1:8" x14ac:dyDescent="0.2">
      <c r="A593" s="31">
        <f t="shared" ref="A593:A656" si="43">A592+1</f>
        <v>579</v>
      </c>
      <c r="B593" s="9" t="s">
        <v>965</v>
      </c>
      <c r="C593" s="32" t="s">
        <v>1751</v>
      </c>
      <c r="D593" s="1" t="s">
        <v>1739</v>
      </c>
      <c r="E593" s="36">
        <f>E12*51.7</f>
        <v>3825.8</v>
      </c>
      <c r="F593" s="36">
        <f t="shared" si="40"/>
        <v>3634.51</v>
      </c>
      <c r="G593" s="26">
        <f t="shared" si="41"/>
        <v>3443.2200000000003</v>
      </c>
      <c r="H593" s="26">
        <f t="shared" si="42"/>
        <v>3251.9300000000003</v>
      </c>
    </row>
    <row r="594" spans="1:8" x14ac:dyDescent="0.2">
      <c r="A594" s="31">
        <f t="shared" si="43"/>
        <v>580</v>
      </c>
      <c r="B594" s="9" t="s">
        <v>1150</v>
      </c>
      <c r="C594" s="32">
        <v>913849</v>
      </c>
      <c r="D594" s="1" t="s">
        <v>1752</v>
      </c>
      <c r="E594" s="36">
        <f>E12*105</f>
        <v>7770</v>
      </c>
      <c r="F594" s="36">
        <f t="shared" si="40"/>
        <v>7381.5</v>
      </c>
      <c r="G594" s="26">
        <f t="shared" si="41"/>
        <v>6993</v>
      </c>
      <c r="H594" s="26">
        <f t="shared" si="42"/>
        <v>6604.5</v>
      </c>
    </row>
    <row r="595" spans="1:8" x14ac:dyDescent="0.2">
      <c r="A595" s="31">
        <f t="shared" si="43"/>
        <v>581</v>
      </c>
      <c r="B595" s="9">
        <v>32314</v>
      </c>
      <c r="C595" s="32" t="s">
        <v>1754</v>
      </c>
      <c r="D595" s="1" t="s">
        <v>1753</v>
      </c>
      <c r="E595" s="36">
        <f>E12*34.68</f>
        <v>2566.3200000000002</v>
      </c>
      <c r="F595" s="36">
        <f t="shared" si="40"/>
        <v>2438.0040000000004</v>
      </c>
      <c r="G595" s="26">
        <f t="shared" si="41"/>
        <v>2309.6880000000001</v>
      </c>
      <c r="H595" s="26">
        <f t="shared" si="42"/>
        <v>2181.3720000000003</v>
      </c>
    </row>
    <row r="596" spans="1:8" x14ac:dyDescent="0.2">
      <c r="A596" s="31">
        <f t="shared" si="43"/>
        <v>582</v>
      </c>
      <c r="B596" s="9" t="s">
        <v>1008</v>
      </c>
      <c r="C596" s="32" t="s">
        <v>1757</v>
      </c>
      <c r="D596" s="1" t="s">
        <v>1756</v>
      </c>
      <c r="E596" s="36">
        <f>E12*56.83</f>
        <v>4205.42</v>
      </c>
      <c r="F596" s="36">
        <f t="shared" si="40"/>
        <v>3995.1489999999999</v>
      </c>
      <c r="G596" s="26">
        <f t="shared" si="41"/>
        <v>3784.8780000000002</v>
      </c>
      <c r="H596" s="26">
        <f t="shared" si="42"/>
        <v>3574.607</v>
      </c>
    </row>
    <row r="597" spans="1:8" x14ac:dyDescent="0.2">
      <c r="A597" s="31">
        <f t="shared" si="43"/>
        <v>583</v>
      </c>
      <c r="B597" s="9" t="s">
        <v>181</v>
      </c>
      <c r="C597" s="32">
        <v>81305500078</v>
      </c>
      <c r="D597" s="1" t="s">
        <v>1758</v>
      </c>
      <c r="E597" s="36">
        <f>E12*45.5</f>
        <v>3367</v>
      </c>
      <c r="F597" s="36">
        <f t="shared" si="40"/>
        <v>3198.65</v>
      </c>
      <c r="G597" s="26">
        <f t="shared" si="41"/>
        <v>3030.3</v>
      </c>
      <c r="H597" s="26">
        <f t="shared" si="42"/>
        <v>2861.95</v>
      </c>
    </row>
    <row r="598" spans="1:8" x14ac:dyDescent="0.2">
      <c r="A598" s="31">
        <f t="shared" si="43"/>
        <v>584</v>
      </c>
      <c r="B598" s="9" t="s">
        <v>1206</v>
      </c>
      <c r="C598" s="32" t="s">
        <v>1755</v>
      </c>
      <c r="D598" s="1" t="s">
        <v>1759</v>
      </c>
      <c r="E598" s="36">
        <f>E12*45.5</f>
        <v>3367</v>
      </c>
      <c r="F598" s="36">
        <f t="shared" si="40"/>
        <v>3198.65</v>
      </c>
      <c r="G598" s="26">
        <f t="shared" si="41"/>
        <v>3030.3</v>
      </c>
      <c r="H598" s="26">
        <f t="shared" si="42"/>
        <v>2861.95</v>
      </c>
    </row>
    <row r="599" spans="1:8" x14ac:dyDescent="0.2">
      <c r="A599" s="31">
        <f t="shared" si="43"/>
        <v>585</v>
      </c>
      <c r="B599" s="9" t="s">
        <v>182</v>
      </c>
      <c r="C599" s="32" t="s">
        <v>1761</v>
      </c>
      <c r="D599" s="1" t="s">
        <v>1760</v>
      </c>
      <c r="E599" s="36">
        <f>E12*45.5</f>
        <v>3367</v>
      </c>
      <c r="F599" s="36">
        <f t="shared" si="40"/>
        <v>3198.65</v>
      </c>
      <c r="G599" s="26">
        <f t="shared" si="41"/>
        <v>3030.3</v>
      </c>
      <c r="H599" s="26">
        <f t="shared" si="42"/>
        <v>2861.95</v>
      </c>
    </row>
    <row r="600" spans="1:8" x14ac:dyDescent="0.2">
      <c r="A600" s="31">
        <f t="shared" si="43"/>
        <v>586</v>
      </c>
      <c r="B600" s="9" t="s">
        <v>1207</v>
      </c>
      <c r="C600" s="32" t="s">
        <v>1763</v>
      </c>
      <c r="D600" s="1" t="s">
        <v>1762</v>
      </c>
      <c r="E600" s="36">
        <f>E12*45.5</f>
        <v>3367</v>
      </c>
      <c r="F600" s="36">
        <f t="shared" si="40"/>
        <v>3198.65</v>
      </c>
      <c r="G600" s="26">
        <f t="shared" si="41"/>
        <v>3030.3</v>
      </c>
      <c r="H600" s="26">
        <f t="shared" si="42"/>
        <v>2861.95</v>
      </c>
    </row>
    <row r="601" spans="1:8" x14ac:dyDescent="0.2">
      <c r="A601" s="31">
        <f t="shared" si="43"/>
        <v>587</v>
      </c>
      <c r="B601" s="9" t="s">
        <v>234</v>
      </c>
      <c r="C601" s="32" t="s">
        <v>1765</v>
      </c>
      <c r="D601" s="1" t="s">
        <v>1764</v>
      </c>
      <c r="E601" s="36">
        <f>E12*86.65</f>
        <v>6412.1</v>
      </c>
      <c r="F601" s="36">
        <f t="shared" si="40"/>
        <v>6091.4950000000008</v>
      </c>
      <c r="G601" s="26">
        <f t="shared" si="41"/>
        <v>5770.89</v>
      </c>
      <c r="H601" s="26">
        <f t="shared" si="42"/>
        <v>5450.2849999999999</v>
      </c>
    </row>
    <row r="602" spans="1:8" x14ac:dyDescent="0.2">
      <c r="A602" s="31">
        <f t="shared" si="43"/>
        <v>588</v>
      </c>
      <c r="B602" s="9" t="s">
        <v>338</v>
      </c>
      <c r="C602" s="32" t="s">
        <v>1767</v>
      </c>
      <c r="D602" s="1" t="s">
        <v>1766</v>
      </c>
      <c r="E602" s="36">
        <f>E12*77.35</f>
        <v>5723.9</v>
      </c>
      <c r="F602" s="36">
        <f t="shared" si="40"/>
        <v>5437.7049999999999</v>
      </c>
      <c r="G602" s="26">
        <f t="shared" si="41"/>
        <v>5151.5099999999993</v>
      </c>
      <c r="H602" s="26">
        <f t="shared" si="42"/>
        <v>4865.3149999999996</v>
      </c>
    </row>
    <row r="603" spans="1:8" x14ac:dyDescent="0.2">
      <c r="A603" s="31">
        <f t="shared" si="43"/>
        <v>589</v>
      </c>
      <c r="B603" s="9" t="s">
        <v>908</v>
      </c>
      <c r="C603" s="32">
        <v>81305500063</v>
      </c>
      <c r="D603" s="1" t="s">
        <v>1768</v>
      </c>
      <c r="E603" s="36">
        <f>E12*83.75</f>
        <v>6197.5</v>
      </c>
      <c r="F603" s="36">
        <f t="shared" si="40"/>
        <v>5887.625</v>
      </c>
      <c r="G603" s="26">
        <f t="shared" si="41"/>
        <v>5577.75</v>
      </c>
      <c r="H603" s="26">
        <f t="shared" si="42"/>
        <v>5267.875</v>
      </c>
    </row>
    <row r="604" spans="1:8" x14ac:dyDescent="0.2">
      <c r="A604" s="31">
        <f t="shared" si="43"/>
        <v>590</v>
      </c>
      <c r="B604" s="9" t="s">
        <v>1227</v>
      </c>
      <c r="C604" s="32" t="s">
        <v>1770</v>
      </c>
      <c r="D604" s="1" t="s">
        <v>1769</v>
      </c>
      <c r="E604" s="36">
        <f>E12*69.16</f>
        <v>5117.84</v>
      </c>
      <c r="F604" s="36">
        <f t="shared" si="40"/>
        <v>4861.9480000000003</v>
      </c>
      <c r="G604" s="26">
        <f t="shared" si="41"/>
        <v>4606.0560000000005</v>
      </c>
      <c r="H604" s="26">
        <f t="shared" si="42"/>
        <v>4350.1639999999998</v>
      </c>
    </row>
    <row r="605" spans="1:8" x14ac:dyDescent="0.2">
      <c r="A605" s="31">
        <f t="shared" si="43"/>
        <v>591</v>
      </c>
      <c r="B605" s="9" t="s">
        <v>819</v>
      </c>
      <c r="C605" s="32" t="s">
        <v>1772</v>
      </c>
      <c r="D605" s="1" t="s">
        <v>1771</v>
      </c>
      <c r="E605" s="36">
        <f>E12*59.8</f>
        <v>4425.2</v>
      </c>
      <c r="F605" s="36">
        <f t="shared" si="40"/>
        <v>4203.9399999999996</v>
      </c>
      <c r="G605" s="26">
        <f t="shared" si="41"/>
        <v>3982.68</v>
      </c>
      <c r="H605" s="26">
        <f t="shared" si="42"/>
        <v>3761.42</v>
      </c>
    </row>
    <row r="606" spans="1:8" x14ac:dyDescent="0.2">
      <c r="A606" s="31">
        <f t="shared" si="43"/>
        <v>592</v>
      </c>
      <c r="B606" s="9" t="s">
        <v>868</v>
      </c>
      <c r="C606" s="32">
        <v>5010439415</v>
      </c>
      <c r="D606" s="1" t="s">
        <v>1773</v>
      </c>
      <c r="E606" s="36">
        <f>E12*3.27</f>
        <v>241.98</v>
      </c>
      <c r="F606" s="36">
        <f t="shared" si="40"/>
        <v>229.881</v>
      </c>
      <c r="G606" s="26">
        <f t="shared" si="41"/>
        <v>217.78199999999998</v>
      </c>
      <c r="H606" s="26">
        <f t="shared" si="42"/>
        <v>205.68299999999999</v>
      </c>
    </row>
    <row r="607" spans="1:8" x14ac:dyDescent="0.2">
      <c r="A607" s="31">
        <f t="shared" si="43"/>
        <v>593</v>
      </c>
      <c r="B607" s="9" t="s">
        <v>1021</v>
      </c>
      <c r="C607" s="32" t="s">
        <v>1775</v>
      </c>
      <c r="D607" s="1" t="s">
        <v>1774</v>
      </c>
      <c r="E607" s="36">
        <f>E12*30.5</f>
        <v>2257</v>
      </c>
      <c r="F607" s="36">
        <f t="shared" si="40"/>
        <v>2144.15</v>
      </c>
      <c r="G607" s="26">
        <f t="shared" si="41"/>
        <v>2031.3</v>
      </c>
      <c r="H607" s="26">
        <f t="shared" si="42"/>
        <v>1918.45</v>
      </c>
    </row>
    <row r="608" spans="1:8" x14ac:dyDescent="0.2">
      <c r="A608" s="31">
        <f t="shared" si="43"/>
        <v>594</v>
      </c>
      <c r="B608" s="9">
        <v>116042</v>
      </c>
      <c r="C608" s="32">
        <v>98170035</v>
      </c>
      <c r="D608" s="1" t="s">
        <v>1776</v>
      </c>
      <c r="E608" s="36">
        <f>E12*49.7</f>
        <v>3677.8</v>
      </c>
      <c r="F608" s="36">
        <f t="shared" si="40"/>
        <v>3493.9100000000003</v>
      </c>
      <c r="G608" s="26">
        <f t="shared" si="41"/>
        <v>3310.02</v>
      </c>
      <c r="H608" s="26">
        <f t="shared" si="42"/>
        <v>3126.13</v>
      </c>
    </row>
    <row r="609" spans="1:8" x14ac:dyDescent="0.2">
      <c r="A609" s="31">
        <f t="shared" si="43"/>
        <v>595</v>
      </c>
      <c r="B609" s="9" t="s">
        <v>1043</v>
      </c>
      <c r="C609" s="32" t="s">
        <v>1778</v>
      </c>
      <c r="D609" s="1" t="s">
        <v>1777</v>
      </c>
      <c r="E609" s="36">
        <f>E12*98.3</f>
        <v>7274.2</v>
      </c>
      <c r="F609" s="36">
        <f t="shared" si="40"/>
        <v>6910.49</v>
      </c>
      <c r="G609" s="26">
        <f t="shared" si="41"/>
        <v>6546.78</v>
      </c>
      <c r="H609" s="26">
        <f t="shared" si="42"/>
        <v>6183.07</v>
      </c>
    </row>
    <row r="610" spans="1:8" x14ac:dyDescent="0.2">
      <c r="A610" s="31">
        <f t="shared" si="43"/>
        <v>596</v>
      </c>
      <c r="B610" s="9" t="s">
        <v>113</v>
      </c>
      <c r="C610" s="32">
        <v>3012402917</v>
      </c>
      <c r="D610" s="1" t="s">
        <v>1779</v>
      </c>
      <c r="E610" s="36">
        <f>E12*42</f>
        <v>3108</v>
      </c>
      <c r="F610" s="36">
        <f t="shared" si="40"/>
        <v>2952.6</v>
      </c>
      <c r="G610" s="26">
        <f t="shared" si="41"/>
        <v>2797.2</v>
      </c>
      <c r="H610" s="26">
        <f t="shared" si="42"/>
        <v>2641.8</v>
      </c>
    </row>
    <row r="611" spans="1:8" x14ac:dyDescent="0.2">
      <c r="A611" s="31">
        <f t="shared" si="43"/>
        <v>597</v>
      </c>
      <c r="B611" s="9" t="s">
        <v>520</v>
      </c>
      <c r="C611" s="32">
        <v>6452400018</v>
      </c>
      <c r="D611" s="1" t="s">
        <v>1780</v>
      </c>
      <c r="E611" s="36">
        <f>E12*48.84</f>
        <v>3614.1600000000003</v>
      </c>
      <c r="F611" s="36">
        <f t="shared" si="40"/>
        <v>3433.4520000000002</v>
      </c>
      <c r="G611" s="26">
        <f t="shared" si="41"/>
        <v>3252.7440000000001</v>
      </c>
      <c r="H611" s="26">
        <f t="shared" si="42"/>
        <v>3072.0360000000001</v>
      </c>
    </row>
    <row r="612" spans="1:8" x14ac:dyDescent="0.2">
      <c r="A612" s="31">
        <f t="shared" si="43"/>
        <v>598</v>
      </c>
      <c r="B612" s="9" t="s">
        <v>429</v>
      </c>
      <c r="C612" s="32">
        <v>9412415113</v>
      </c>
      <c r="D612" s="1" t="s">
        <v>1781</v>
      </c>
      <c r="E612" s="36">
        <f>E12*50.17</f>
        <v>3712.58</v>
      </c>
      <c r="F612" s="36">
        <f t="shared" si="40"/>
        <v>3526.951</v>
      </c>
      <c r="G612" s="26">
        <f t="shared" si="41"/>
        <v>3341.3220000000001</v>
      </c>
      <c r="H612" s="26">
        <f t="shared" si="42"/>
        <v>3155.6930000000002</v>
      </c>
    </row>
    <row r="613" spans="1:8" x14ac:dyDescent="0.2">
      <c r="A613" s="31">
        <f t="shared" si="43"/>
        <v>599</v>
      </c>
      <c r="B613" s="9" t="s">
        <v>811</v>
      </c>
      <c r="C613" s="32">
        <v>3572400418</v>
      </c>
      <c r="D613" s="1" t="s">
        <v>1782</v>
      </c>
      <c r="E613" s="36">
        <f>E12*66.98</f>
        <v>4956.5200000000004</v>
      </c>
      <c r="F613" s="36">
        <f t="shared" si="40"/>
        <v>4708.6940000000004</v>
      </c>
      <c r="G613" s="26">
        <f t="shared" si="41"/>
        <v>4460.8680000000004</v>
      </c>
      <c r="H613" s="26">
        <f t="shared" si="42"/>
        <v>4213.0420000000004</v>
      </c>
    </row>
    <row r="614" spans="1:8" x14ac:dyDescent="0.2">
      <c r="A614" s="31">
        <f t="shared" si="43"/>
        <v>600</v>
      </c>
      <c r="B614" s="9" t="s">
        <v>1253</v>
      </c>
      <c r="C614" s="32" t="s">
        <v>1786</v>
      </c>
      <c r="D614" s="1" t="s">
        <v>1783</v>
      </c>
      <c r="E614" s="36">
        <f>E12*66.41</f>
        <v>4914.34</v>
      </c>
      <c r="F614" s="36">
        <f t="shared" si="40"/>
        <v>4668.6230000000005</v>
      </c>
      <c r="G614" s="26">
        <f t="shared" si="41"/>
        <v>4422.9059999999999</v>
      </c>
      <c r="H614" s="26">
        <f t="shared" si="42"/>
        <v>4177.1890000000003</v>
      </c>
    </row>
    <row r="615" spans="1:8" x14ac:dyDescent="0.2">
      <c r="A615" s="31">
        <f t="shared" si="43"/>
        <v>601</v>
      </c>
      <c r="B615" s="9" t="s">
        <v>1784</v>
      </c>
      <c r="C615" s="32" t="s">
        <v>1788</v>
      </c>
      <c r="D615" s="1" t="s">
        <v>1785</v>
      </c>
      <c r="E615" s="36">
        <f>E12*41.67</f>
        <v>3083.58</v>
      </c>
      <c r="F615" s="36">
        <f t="shared" si="40"/>
        <v>2929.4009999999998</v>
      </c>
      <c r="G615" s="26">
        <f t="shared" si="41"/>
        <v>2775.2219999999998</v>
      </c>
      <c r="H615" s="26">
        <f t="shared" si="42"/>
        <v>2621.0430000000001</v>
      </c>
    </row>
    <row r="616" spans="1:8" x14ac:dyDescent="0.2">
      <c r="A616" s="31">
        <f t="shared" si="43"/>
        <v>602</v>
      </c>
      <c r="B616" s="9" t="s">
        <v>331</v>
      </c>
      <c r="C616" s="32">
        <v>81962100302</v>
      </c>
      <c r="D616" s="1" t="s">
        <v>1787</v>
      </c>
      <c r="E616" s="36">
        <f>E12*49.16</f>
        <v>3637.8399999999997</v>
      </c>
      <c r="F616" s="36">
        <f t="shared" si="40"/>
        <v>3455.9479999999999</v>
      </c>
      <c r="G616" s="26">
        <f t="shared" si="41"/>
        <v>3274.0559999999996</v>
      </c>
      <c r="H616" s="26">
        <f t="shared" si="42"/>
        <v>3092.1639999999998</v>
      </c>
    </row>
    <row r="617" spans="1:8" x14ac:dyDescent="0.2">
      <c r="A617" s="31">
        <f t="shared" si="43"/>
        <v>603</v>
      </c>
      <c r="B617" s="9" t="s">
        <v>566</v>
      </c>
      <c r="C617" s="32">
        <v>81962100293</v>
      </c>
      <c r="D617" s="1" t="s">
        <v>1789</v>
      </c>
      <c r="E617" s="36">
        <f>E12*67.1</f>
        <v>4965.3999999999996</v>
      </c>
      <c r="F617" s="36">
        <f t="shared" si="40"/>
        <v>4717.1299999999992</v>
      </c>
      <c r="G617" s="26">
        <f t="shared" si="41"/>
        <v>4468.8599999999997</v>
      </c>
      <c r="H617" s="26">
        <f t="shared" si="42"/>
        <v>4220.59</v>
      </c>
    </row>
    <row r="618" spans="1:8" x14ac:dyDescent="0.2">
      <c r="A618" s="31">
        <f t="shared" si="43"/>
        <v>604</v>
      </c>
      <c r="B618" s="9" t="s">
        <v>426</v>
      </c>
      <c r="C618" s="32">
        <v>9412414713</v>
      </c>
      <c r="D618" s="1" t="s">
        <v>1790</v>
      </c>
      <c r="E618" s="36">
        <f>E12*60.1</f>
        <v>4447.4000000000005</v>
      </c>
      <c r="F618" s="36">
        <f t="shared" si="40"/>
        <v>4225.0300000000007</v>
      </c>
      <c r="G618" s="26">
        <f t="shared" si="41"/>
        <v>4002.6600000000003</v>
      </c>
      <c r="H618" s="26">
        <f t="shared" si="42"/>
        <v>3780.2900000000004</v>
      </c>
    </row>
    <row r="619" spans="1:8" x14ac:dyDescent="0.2">
      <c r="A619" s="31">
        <f t="shared" si="43"/>
        <v>605</v>
      </c>
      <c r="B619" s="9" t="s">
        <v>760</v>
      </c>
      <c r="C619" s="32">
        <v>3072400017</v>
      </c>
      <c r="D619" s="1" t="s">
        <v>1791</v>
      </c>
      <c r="E619" s="36">
        <f>E12*71</f>
        <v>5254</v>
      </c>
      <c r="F619" s="36">
        <f t="shared" si="40"/>
        <v>4991.3</v>
      </c>
      <c r="G619" s="26">
        <f t="shared" si="41"/>
        <v>4728.6000000000004</v>
      </c>
      <c r="H619" s="26">
        <f t="shared" si="42"/>
        <v>4465.8999999999996</v>
      </c>
    </row>
    <row r="620" spans="1:8" x14ac:dyDescent="0.2">
      <c r="A620" s="31">
        <f t="shared" si="43"/>
        <v>606</v>
      </c>
      <c r="B620" s="9" t="s">
        <v>812</v>
      </c>
      <c r="C620" s="32">
        <v>6292400218</v>
      </c>
      <c r="D620" s="1" t="s">
        <v>1792</v>
      </c>
      <c r="E620" s="36">
        <f>E12*78.85</f>
        <v>5834.9</v>
      </c>
      <c r="F620" s="36">
        <f t="shared" si="40"/>
        <v>5543.1549999999997</v>
      </c>
      <c r="G620" s="26">
        <f t="shared" si="41"/>
        <v>5251.41</v>
      </c>
      <c r="H620" s="26">
        <f t="shared" si="42"/>
        <v>4959.665</v>
      </c>
    </row>
    <row r="621" spans="1:8" x14ac:dyDescent="0.2">
      <c r="A621" s="31">
        <f t="shared" si="43"/>
        <v>607</v>
      </c>
      <c r="B621" s="9" t="s">
        <v>813</v>
      </c>
      <c r="C621" s="32">
        <v>6272400801</v>
      </c>
      <c r="D621" s="1" t="s">
        <v>1793</v>
      </c>
      <c r="E621" s="36">
        <f>E12*78.3</f>
        <v>5794.2</v>
      </c>
      <c r="F621" s="36">
        <f t="shared" si="40"/>
        <v>5504.49</v>
      </c>
      <c r="G621" s="26">
        <f t="shared" si="41"/>
        <v>5214.78</v>
      </c>
      <c r="H621" s="26">
        <f t="shared" si="42"/>
        <v>4925.07</v>
      </c>
    </row>
    <row r="622" spans="1:8" x14ac:dyDescent="0.2">
      <c r="A622" s="31">
        <f t="shared" si="43"/>
        <v>608</v>
      </c>
      <c r="B622" s="9">
        <v>4474335113</v>
      </c>
      <c r="C622" s="32">
        <v>4474335113</v>
      </c>
      <c r="D622" s="1" t="s">
        <v>1794</v>
      </c>
      <c r="E622" s="36">
        <f>E12*759</f>
        <v>56166</v>
      </c>
      <c r="F622" s="36">
        <f t="shared" si="40"/>
        <v>53357.7</v>
      </c>
      <c r="G622" s="26">
        <f t="shared" si="41"/>
        <v>50549.4</v>
      </c>
      <c r="H622" s="26">
        <f t="shared" si="42"/>
        <v>47741.1</v>
      </c>
    </row>
    <row r="623" spans="1:8" x14ac:dyDescent="0.2">
      <c r="A623" s="31">
        <f t="shared" si="43"/>
        <v>609</v>
      </c>
      <c r="B623" s="9">
        <v>60200044</v>
      </c>
      <c r="C623" s="32">
        <v>60200044</v>
      </c>
      <c r="D623" s="1" t="s">
        <v>1795</v>
      </c>
      <c r="E623" s="36">
        <f>E12*298</f>
        <v>22052</v>
      </c>
      <c r="F623" s="36">
        <f t="shared" si="40"/>
        <v>20949.400000000001</v>
      </c>
      <c r="G623" s="26">
        <f t="shared" si="41"/>
        <v>19846.8</v>
      </c>
      <c r="H623" s="26">
        <f t="shared" si="42"/>
        <v>18744.2</v>
      </c>
    </row>
    <row r="624" spans="1:8" x14ac:dyDescent="0.2">
      <c r="A624" s="31">
        <f t="shared" si="43"/>
        <v>610</v>
      </c>
      <c r="B624" s="9" t="s">
        <v>669</v>
      </c>
      <c r="C624" s="32" t="s">
        <v>1797</v>
      </c>
      <c r="D624" s="1" t="s">
        <v>1796</v>
      </c>
      <c r="E624" s="36">
        <f>E12*28.75</f>
        <v>2127.5</v>
      </c>
      <c r="F624" s="36">
        <f t="shared" si="40"/>
        <v>2021.125</v>
      </c>
      <c r="G624" s="26">
        <f t="shared" si="41"/>
        <v>1914.75</v>
      </c>
      <c r="H624" s="26">
        <f t="shared" si="42"/>
        <v>1808.375</v>
      </c>
    </row>
    <row r="625" spans="1:8" s="29" customFormat="1" x14ac:dyDescent="0.2">
      <c r="A625" s="31">
        <f t="shared" si="43"/>
        <v>611</v>
      </c>
      <c r="B625" s="32">
        <v>131202</v>
      </c>
      <c r="C625" s="32">
        <v>51541196001</v>
      </c>
      <c r="D625" s="30" t="s">
        <v>2054</v>
      </c>
      <c r="E625" s="36">
        <f>E12*34.46</f>
        <v>2550.04</v>
      </c>
      <c r="F625" s="36">
        <f t="shared" si="40"/>
        <v>2422.538</v>
      </c>
      <c r="G625" s="26">
        <f t="shared" si="41"/>
        <v>2295.0360000000001</v>
      </c>
      <c r="H625" s="26">
        <f t="shared" si="42"/>
        <v>2167.5340000000001</v>
      </c>
    </row>
    <row r="626" spans="1:8" x14ac:dyDescent="0.2">
      <c r="A626" s="31">
        <f t="shared" si="43"/>
        <v>612</v>
      </c>
      <c r="B626" s="9" t="s">
        <v>349</v>
      </c>
      <c r="C626" s="32"/>
      <c r="D626" s="1" t="s">
        <v>377</v>
      </c>
      <c r="E626" s="36">
        <f>E12*6.6</f>
        <v>488.4</v>
      </c>
      <c r="F626" s="36">
        <f t="shared" si="40"/>
        <v>463.97999999999996</v>
      </c>
      <c r="G626" s="26">
        <f t="shared" si="41"/>
        <v>439.55999999999995</v>
      </c>
      <c r="H626" s="26">
        <f t="shared" si="42"/>
        <v>415.14</v>
      </c>
    </row>
    <row r="627" spans="1:8" x14ac:dyDescent="0.2">
      <c r="A627" s="31">
        <f t="shared" si="43"/>
        <v>613</v>
      </c>
      <c r="B627" s="9" t="s">
        <v>350</v>
      </c>
      <c r="C627" s="32"/>
      <c r="D627" s="1" t="s">
        <v>378</v>
      </c>
      <c r="E627" s="36">
        <f>E12*4.08</f>
        <v>301.92</v>
      </c>
      <c r="F627" s="36">
        <f t="shared" si="40"/>
        <v>286.82400000000001</v>
      </c>
      <c r="G627" s="26">
        <f t="shared" si="41"/>
        <v>271.72800000000001</v>
      </c>
      <c r="H627" s="26">
        <f t="shared" si="42"/>
        <v>256.63200000000001</v>
      </c>
    </row>
    <row r="628" spans="1:8" x14ac:dyDescent="0.2">
      <c r="A628" s="31">
        <f t="shared" si="43"/>
        <v>614</v>
      </c>
      <c r="B628" s="9" t="s">
        <v>379</v>
      </c>
      <c r="C628" s="32">
        <v>403201080</v>
      </c>
      <c r="D628" s="1" t="s">
        <v>385</v>
      </c>
      <c r="E628" s="36">
        <f>E12*1.82</f>
        <v>134.68</v>
      </c>
      <c r="F628" s="36">
        <f t="shared" si="40"/>
        <v>127.94600000000001</v>
      </c>
      <c r="G628" s="26">
        <f t="shared" si="41"/>
        <v>121.212</v>
      </c>
      <c r="H628" s="26">
        <f t="shared" si="42"/>
        <v>114.47800000000001</v>
      </c>
    </row>
    <row r="629" spans="1:8" x14ac:dyDescent="0.2">
      <c r="A629" s="31">
        <f t="shared" si="43"/>
        <v>615</v>
      </c>
      <c r="B629" s="9" t="s">
        <v>339</v>
      </c>
      <c r="C629" s="32">
        <v>4422010080</v>
      </c>
      <c r="D629" s="1" t="s">
        <v>384</v>
      </c>
      <c r="E629" s="36">
        <f>E12*1.82</f>
        <v>134.68</v>
      </c>
      <c r="F629" s="36">
        <f t="shared" si="40"/>
        <v>127.94600000000001</v>
      </c>
      <c r="G629" s="26">
        <f t="shared" si="41"/>
        <v>121.212</v>
      </c>
      <c r="H629" s="26">
        <f t="shared" si="42"/>
        <v>114.47800000000001</v>
      </c>
    </row>
    <row r="630" spans="1:8" x14ac:dyDescent="0.2">
      <c r="A630" s="31">
        <f t="shared" si="43"/>
        <v>616</v>
      </c>
      <c r="B630" s="9">
        <v>4474335071</v>
      </c>
      <c r="C630" s="32" t="s">
        <v>1799</v>
      </c>
      <c r="D630" s="1" t="s">
        <v>1798</v>
      </c>
      <c r="E630" s="36">
        <f>E12*5.19</f>
        <v>384.06</v>
      </c>
      <c r="F630" s="36">
        <f t="shared" si="40"/>
        <v>364.85699999999997</v>
      </c>
      <c r="G630" s="26">
        <f t="shared" si="41"/>
        <v>345.654</v>
      </c>
      <c r="H630" s="26">
        <f t="shared" si="42"/>
        <v>326.45100000000002</v>
      </c>
    </row>
    <row r="631" spans="1:8" x14ac:dyDescent="0.2">
      <c r="A631" s="31">
        <f t="shared" si="43"/>
        <v>617</v>
      </c>
      <c r="B631" s="9" t="s">
        <v>252</v>
      </c>
      <c r="C631" s="32">
        <v>133105</v>
      </c>
      <c r="D631" s="1" t="s">
        <v>1800</v>
      </c>
      <c r="E631" s="36">
        <f>E12*8</f>
        <v>592</v>
      </c>
      <c r="F631" s="36">
        <f t="shared" si="40"/>
        <v>562.4</v>
      </c>
      <c r="G631" s="26">
        <f t="shared" si="41"/>
        <v>532.79999999999995</v>
      </c>
      <c r="H631" s="26">
        <f t="shared" si="42"/>
        <v>503.2</v>
      </c>
    </row>
    <row r="632" spans="1:8" x14ac:dyDescent="0.2">
      <c r="A632" s="31">
        <f t="shared" si="43"/>
        <v>618</v>
      </c>
      <c r="B632" s="9" t="s">
        <v>116</v>
      </c>
      <c r="C632" s="32">
        <v>51039010262</v>
      </c>
      <c r="D632" s="1" t="s">
        <v>1801</v>
      </c>
      <c r="E632" s="36">
        <v>199</v>
      </c>
      <c r="F632" s="36">
        <f t="shared" si="40"/>
        <v>189.05</v>
      </c>
      <c r="G632" s="26">
        <f t="shared" si="41"/>
        <v>179.1</v>
      </c>
      <c r="H632" s="26">
        <f t="shared" si="42"/>
        <v>169.15</v>
      </c>
    </row>
    <row r="633" spans="1:8" x14ac:dyDescent="0.2">
      <c r="A633" s="31">
        <f t="shared" si="43"/>
        <v>619</v>
      </c>
      <c r="B633" s="9" t="s">
        <v>117</v>
      </c>
      <c r="C633" s="32"/>
      <c r="D633" s="1" t="s">
        <v>1802</v>
      </c>
      <c r="E633" s="36">
        <f>E12*5.11</f>
        <v>378.14000000000004</v>
      </c>
      <c r="F633" s="36">
        <f t="shared" si="40"/>
        <v>359.23300000000006</v>
      </c>
      <c r="G633" s="26">
        <f t="shared" si="41"/>
        <v>340.32600000000002</v>
      </c>
      <c r="H633" s="26">
        <f t="shared" si="42"/>
        <v>321.41900000000004</v>
      </c>
    </row>
    <row r="634" spans="1:8" x14ac:dyDescent="0.2">
      <c r="A634" s="31">
        <f t="shared" si="43"/>
        <v>620</v>
      </c>
      <c r="B634" s="9" t="s">
        <v>894</v>
      </c>
      <c r="C634" s="32"/>
      <c r="D634" s="1" t="s">
        <v>332</v>
      </c>
      <c r="E634" s="36">
        <f>E12*3.64</f>
        <v>269.36</v>
      </c>
      <c r="F634" s="36">
        <f t="shared" si="40"/>
        <v>255.89200000000002</v>
      </c>
      <c r="G634" s="26">
        <f t="shared" si="41"/>
        <v>242.42400000000001</v>
      </c>
      <c r="H634" s="26">
        <f t="shared" si="42"/>
        <v>228.95600000000002</v>
      </c>
    </row>
    <row r="635" spans="1:8" x14ac:dyDescent="0.2">
      <c r="A635" s="31">
        <f t="shared" si="43"/>
        <v>621</v>
      </c>
      <c r="B635" s="9" t="s">
        <v>1259</v>
      </c>
      <c r="C635" s="32"/>
      <c r="D635" s="1" t="s">
        <v>1212</v>
      </c>
      <c r="E635" s="36">
        <f>E12*3.64</f>
        <v>269.36</v>
      </c>
      <c r="F635" s="36">
        <f t="shared" si="40"/>
        <v>255.89200000000002</v>
      </c>
      <c r="G635" s="26">
        <f t="shared" si="41"/>
        <v>242.42400000000001</v>
      </c>
      <c r="H635" s="26">
        <f t="shared" si="42"/>
        <v>228.95600000000002</v>
      </c>
    </row>
    <row r="636" spans="1:8" x14ac:dyDescent="0.2">
      <c r="A636" s="31">
        <f t="shared" si="43"/>
        <v>622</v>
      </c>
      <c r="B636" s="9" t="s">
        <v>447</v>
      </c>
      <c r="C636" s="32">
        <v>51009006570</v>
      </c>
      <c r="D636" s="1" t="s">
        <v>1803</v>
      </c>
      <c r="E636" s="36">
        <v>299</v>
      </c>
      <c r="F636" s="36">
        <f t="shared" si="40"/>
        <v>284.05</v>
      </c>
      <c r="G636" s="26">
        <f t="shared" si="41"/>
        <v>269.10000000000002</v>
      </c>
      <c r="H636" s="26">
        <f t="shared" si="42"/>
        <v>254.15</v>
      </c>
    </row>
    <row r="637" spans="1:8" x14ac:dyDescent="0.2">
      <c r="A637" s="31">
        <f t="shared" si="43"/>
        <v>623</v>
      </c>
      <c r="B637" s="9" t="s">
        <v>1051</v>
      </c>
      <c r="C637" s="32"/>
      <c r="D637" s="1" t="s">
        <v>648</v>
      </c>
      <c r="E637" s="36">
        <f>E12*10.1</f>
        <v>747.4</v>
      </c>
      <c r="F637" s="36">
        <f t="shared" si="40"/>
        <v>710.03</v>
      </c>
      <c r="G637" s="26">
        <f t="shared" si="41"/>
        <v>672.66</v>
      </c>
      <c r="H637" s="26">
        <f t="shared" si="42"/>
        <v>635.29</v>
      </c>
    </row>
    <row r="638" spans="1:8" x14ac:dyDescent="0.2">
      <c r="A638" s="31">
        <f t="shared" si="43"/>
        <v>624</v>
      </c>
      <c r="B638" s="9" t="s">
        <v>638</v>
      </c>
      <c r="C638" s="32"/>
      <c r="D638" s="1" t="s">
        <v>647</v>
      </c>
      <c r="E638" s="36">
        <f>E12*10.1</f>
        <v>747.4</v>
      </c>
      <c r="F638" s="36">
        <f t="shared" si="40"/>
        <v>710.03</v>
      </c>
      <c r="G638" s="26">
        <f t="shared" si="41"/>
        <v>672.66</v>
      </c>
      <c r="H638" s="26">
        <f t="shared" si="42"/>
        <v>635.29</v>
      </c>
    </row>
    <row r="639" spans="1:8" x14ac:dyDescent="0.2">
      <c r="A639" s="31">
        <f t="shared" si="43"/>
        <v>625</v>
      </c>
      <c r="B639" s="9" t="s">
        <v>1178</v>
      </c>
      <c r="C639" s="32"/>
      <c r="D639" s="18" t="s">
        <v>653</v>
      </c>
      <c r="E639" s="36">
        <f>E12*10.1</f>
        <v>747.4</v>
      </c>
      <c r="F639" s="36">
        <f t="shared" si="40"/>
        <v>710.03</v>
      </c>
      <c r="G639" s="26">
        <f t="shared" si="41"/>
        <v>672.66</v>
      </c>
      <c r="H639" s="26">
        <f t="shared" si="42"/>
        <v>635.29</v>
      </c>
    </row>
    <row r="640" spans="1:8" x14ac:dyDescent="0.2">
      <c r="A640" s="31">
        <f t="shared" si="43"/>
        <v>626</v>
      </c>
      <c r="B640" s="9" t="s">
        <v>698</v>
      </c>
      <c r="C640" s="32"/>
      <c r="D640" s="1" t="s">
        <v>47</v>
      </c>
      <c r="E640" s="36">
        <v>288</v>
      </c>
      <c r="F640" s="36">
        <f t="shared" ref="F640:F688" si="44">E640-E640*5%</f>
        <v>273.60000000000002</v>
      </c>
      <c r="G640" s="26">
        <f t="shared" ref="G640:G688" si="45">E640-E640*10%</f>
        <v>259.2</v>
      </c>
      <c r="H640" s="26">
        <f t="shared" ref="H640:H688" si="46">E640-E640*15%</f>
        <v>244.8</v>
      </c>
    </row>
    <row r="641" spans="1:8" x14ac:dyDescent="0.2">
      <c r="A641" s="31">
        <f t="shared" si="43"/>
        <v>627</v>
      </c>
      <c r="B641" s="9" t="s">
        <v>1196</v>
      </c>
      <c r="C641" s="32">
        <v>4030160321</v>
      </c>
      <c r="D641" s="1" t="s">
        <v>1804</v>
      </c>
      <c r="E641" s="36">
        <f>E12*1</f>
        <v>74</v>
      </c>
      <c r="F641" s="36">
        <f t="shared" si="44"/>
        <v>70.3</v>
      </c>
      <c r="G641" s="26">
        <f t="shared" si="45"/>
        <v>66.599999999999994</v>
      </c>
      <c r="H641" s="26">
        <f t="shared" si="46"/>
        <v>62.9</v>
      </c>
    </row>
    <row r="642" spans="1:8" x14ac:dyDescent="0.2">
      <c r="A642" s="31">
        <f t="shared" si="43"/>
        <v>628</v>
      </c>
      <c r="B642" s="9" t="s">
        <v>183</v>
      </c>
      <c r="C642" s="32"/>
      <c r="D642" s="1" t="s">
        <v>44</v>
      </c>
      <c r="E642" s="36">
        <v>99</v>
      </c>
      <c r="F642" s="36">
        <f t="shared" si="44"/>
        <v>94.05</v>
      </c>
      <c r="G642" s="26">
        <f t="shared" si="45"/>
        <v>89.1</v>
      </c>
      <c r="H642" s="26">
        <f t="shared" si="46"/>
        <v>84.15</v>
      </c>
    </row>
    <row r="643" spans="1:8" x14ac:dyDescent="0.2">
      <c r="A643" s="31">
        <f t="shared" si="43"/>
        <v>629</v>
      </c>
      <c r="B643" s="9" t="s">
        <v>184</v>
      </c>
      <c r="C643" s="32"/>
      <c r="D643" s="1" t="s">
        <v>45</v>
      </c>
      <c r="E643" s="36">
        <v>99</v>
      </c>
      <c r="F643" s="36">
        <f t="shared" si="44"/>
        <v>94.05</v>
      </c>
      <c r="G643" s="26">
        <f t="shared" si="45"/>
        <v>89.1</v>
      </c>
      <c r="H643" s="26">
        <f t="shared" si="46"/>
        <v>84.15</v>
      </c>
    </row>
    <row r="644" spans="1:8" x14ac:dyDescent="0.2">
      <c r="A644" s="31">
        <f t="shared" si="43"/>
        <v>630</v>
      </c>
      <c r="B644" s="9" t="s">
        <v>458</v>
      </c>
      <c r="C644" s="32">
        <v>51961010048</v>
      </c>
      <c r="D644" s="1" t="s">
        <v>1805</v>
      </c>
      <c r="E644" s="36">
        <f>E12*5.05</f>
        <v>373.7</v>
      </c>
      <c r="F644" s="36">
        <f t="shared" si="44"/>
        <v>355.01499999999999</v>
      </c>
      <c r="G644" s="26">
        <f t="shared" si="45"/>
        <v>336.33</v>
      </c>
      <c r="H644" s="26">
        <f t="shared" si="46"/>
        <v>317.64499999999998</v>
      </c>
    </row>
    <row r="645" spans="1:8" x14ac:dyDescent="0.2">
      <c r="A645" s="31">
        <f t="shared" si="43"/>
        <v>631</v>
      </c>
      <c r="B645" s="9" t="s">
        <v>86</v>
      </c>
      <c r="C645" s="32">
        <v>4031420380</v>
      </c>
      <c r="D645" s="1" t="s">
        <v>87</v>
      </c>
      <c r="E645" s="36">
        <f>E12*1.08</f>
        <v>79.92</v>
      </c>
      <c r="F645" s="36">
        <f t="shared" si="44"/>
        <v>75.924000000000007</v>
      </c>
      <c r="G645" s="26">
        <f t="shared" si="45"/>
        <v>71.927999999999997</v>
      </c>
      <c r="H645" s="26">
        <f t="shared" si="46"/>
        <v>67.932000000000002</v>
      </c>
    </row>
    <row r="646" spans="1:8" x14ac:dyDescent="0.2">
      <c r="A646" s="31">
        <f t="shared" si="43"/>
        <v>632</v>
      </c>
      <c r="B646" s="9" t="s">
        <v>671</v>
      </c>
      <c r="C646" s="32">
        <v>4421411780</v>
      </c>
      <c r="D646" s="1" t="s">
        <v>1806</v>
      </c>
      <c r="E646" s="36">
        <f>E12*0.91</f>
        <v>67.34</v>
      </c>
      <c r="F646" s="36">
        <f t="shared" si="44"/>
        <v>63.973000000000006</v>
      </c>
      <c r="G646" s="26">
        <f t="shared" si="45"/>
        <v>60.606000000000002</v>
      </c>
      <c r="H646" s="26">
        <f t="shared" si="46"/>
        <v>57.239000000000004</v>
      </c>
    </row>
    <row r="647" spans="1:8" x14ac:dyDescent="0.2">
      <c r="A647" s="31">
        <f t="shared" si="43"/>
        <v>633</v>
      </c>
      <c r="B647" s="9" t="s">
        <v>479</v>
      </c>
      <c r="C647" s="32"/>
      <c r="D647" s="1" t="s">
        <v>1157</v>
      </c>
      <c r="E647" s="36">
        <f>E12*6.46</f>
        <v>478.04</v>
      </c>
      <c r="F647" s="36">
        <f t="shared" si="44"/>
        <v>454.13800000000003</v>
      </c>
      <c r="G647" s="26">
        <f t="shared" si="45"/>
        <v>430.23599999999999</v>
      </c>
      <c r="H647" s="26">
        <f t="shared" si="46"/>
        <v>406.334</v>
      </c>
    </row>
    <row r="648" spans="1:8" x14ac:dyDescent="0.2">
      <c r="A648" s="31">
        <f t="shared" si="43"/>
        <v>634</v>
      </c>
      <c r="B648" s="9" t="s">
        <v>185</v>
      </c>
      <c r="C648" s="32">
        <v>4410140422</v>
      </c>
      <c r="D648" s="1" t="s">
        <v>1807</v>
      </c>
      <c r="E648" s="36">
        <f>E12*4.23</f>
        <v>313.02000000000004</v>
      </c>
      <c r="F648" s="36">
        <f t="shared" si="44"/>
        <v>297.36900000000003</v>
      </c>
      <c r="G648" s="26">
        <f t="shared" si="45"/>
        <v>281.71800000000002</v>
      </c>
      <c r="H648" s="26">
        <f t="shared" si="46"/>
        <v>266.06700000000001</v>
      </c>
    </row>
    <row r="649" spans="1:8" x14ac:dyDescent="0.2">
      <c r="A649" s="31">
        <f t="shared" si="43"/>
        <v>635</v>
      </c>
      <c r="B649" s="9" t="s">
        <v>756</v>
      </c>
      <c r="C649" s="32">
        <v>4420140222</v>
      </c>
      <c r="D649" s="1" t="s">
        <v>1808</v>
      </c>
      <c r="E649" s="36">
        <f>E12*5.9</f>
        <v>436.6</v>
      </c>
      <c r="F649" s="36">
        <f t="shared" si="44"/>
        <v>414.77000000000004</v>
      </c>
      <c r="G649" s="26">
        <f t="shared" si="45"/>
        <v>392.94</v>
      </c>
      <c r="H649" s="26">
        <f t="shared" si="46"/>
        <v>371.11</v>
      </c>
    </row>
    <row r="650" spans="1:8" x14ac:dyDescent="0.2">
      <c r="A650" s="31">
        <f t="shared" si="43"/>
        <v>636</v>
      </c>
      <c r="B650" s="9" t="s">
        <v>474</v>
      </c>
      <c r="C650" s="32"/>
      <c r="D650" s="1" t="s">
        <v>368</v>
      </c>
      <c r="E650" s="36">
        <f>E12*6.75</f>
        <v>499.5</v>
      </c>
      <c r="F650" s="36">
        <f t="shared" si="44"/>
        <v>474.52499999999998</v>
      </c>
      <c r="G650" s="26">
        <f t="shared" si="45"/>
        <v>449.55</v>
      </c>
      <c r="H650" s="26">
        <f t="shared" si="46"/>
        <v>424.57499999999999</v>
      </c>
    </row>
    <row r="651" spans="1:8" x14ac:dyDescent="0.2">
      <c r="A651" s="31">
        <f t="shared" si="43"/>
        <v>637</v>
      </c>
      <c r="B651" s="9" t="s">
        <v>922</v>
      </c>
      <c r="C651" s="32"/>
      <c r="D651" s="1" t="s">
        <v>488</v>
      </c>
      <c r="E651" s="36">
        <f>E12*67.35</f>
        <v>4983.8999999999996</v>
      </c>
      <c r="F651" s="36">
        <f t="shared" si="44"/>
        <v>4734.7049999999999</v>
      </c>
      <c r="G651" s="26">
        <f t="shared" si="45"/>
        <v>4485.5099999999993</v>
      </c>
      <c r="H651" s="26">
        <f t="shared" si="46"/>
        <v>4236.3149999999996</v>
      </c>
    </row>
    <row r="652" spans="1:8" x14ac:dyDescent="0.2">
      <c r="A652" s="31">
        <f t="shared" si="43"/>
        <v>638</v>
      </c>
      <c r="B652" s="9" t="s">
        <v>1228</v>
      </c>
      <c r="C652" s="32"/>
      <c r="D652" s="1" t="s">
        <v>890</v>
      </c>
      <c r="E652" s="36">
        <f>E12*77.35</f>
        <v>5723.9</v>
      </c>
      <c r="F652" s="36">
        <f t="shared" si="44"/>
        <v>5437.7049999999999</v>
      </c>
      <c r="G652" s="26">
        <f t="shared" si="45"/>
        <v>5151.5099999999993</v>
      </c>
      <c r="H652" s="26">
        <f t="shared" si="46"/>
        <v>4865.3149999999996</v>
      </c>
    </row>
    <row r="653" spans="1:8" x14ac:dyDescent="0.2">
      <c r="A653" s="31">
        <f t="shared" si="43"/>
        <v>639</v>
      </c>
      <c r="B653" s="9" t="s">
        <v>1181</v>
      </c>
      <c r="C653" s="32"/>
      <c r="D653" s="1" t="s">
        <v>1809</v>
      </c>
      <c r="E653" s="36">
        <f>E12*85.18</f>
        <v>6303.3200000000006</v>
      </c>
      <c r="F653" s="36">
        <f t="shared" si="44"/>
        <v>5988.1540000000005</v>
      </c>
      <c r="G653" s="26">
        <f t="shared" si="45"/>
        <v>5672.9880000000003</v>
      </c>
      <c r="H653" s="26">
        <f t="shared" si="46"/>
        <v>5357.8220000000001</v>
      </c>
    </row>
    <row r="654" spans="1:8" x14ac:dyDescent="0.2">
      <c r="A654" s="31">
        <f t="shared" si="43"/>
        <v>640</v>
      </c>
      <c r="B654" s="9" t="s">
        <v>1128</v>
      </c>
      <c r="C654" s="32"/>
      <c r="D654" s="1" t="s">
        <v>1129</v>
      </c>
      <c r="E654" s="36">
        <f>E12*74.65</f>
        <v>5524.1</v>
      </c>
      <c r="F654" s="36">
        <f t="shared" si="44"/>
        <v>5247.8950000000004</v>
      </c>
      <c r="G654" s="26">
        <f t="shared" si="45"/>
        <v>4971.6900000000005</v>
      </c>
      <c r="H654" s="26">
        <f t="shared" si="46"/>
        <v>4695.4850000000006</v>
      </c>
    </row>
    <row r="655" spans="1:8" x14ac:dyDescent="0.2">
      <c r="A655" s="31">
        <f t="shared" si="43"/>
        <v>641</v>
      </c>
      <c r="B655" s="9" t="s">
        <v>387</v>
      </c>
      <c r="C655" s="32"/>
      <c r="D655" s="1" t="s">
        <v>1809</v>
      </c>
      <c r="E655" s="36">
        <f>E12*85.18</f>
        <v>6303.3200000000006</v>
      </c>
      <c r="F655" s="36">
        <f t="shared" si="44"/>
        <v>5988.1540000000005</v>
      </c>
      <c r="G655" s="26">
        <f t="shared" si="45"/>
        <v>5672.9880000000003</v>
      </c>
      <c r="H655" s="26">
        <f t="shared" si="46"/>
        <v>5357.8220000000001</v>
      </c>
    </row>
    <row r="656" spans="1:8" x14ac:dyDescent="0.2">
      <c r="A656" s="31">
        <f t="shared" si="43"/>
        <v>642</v>
      </c>
      <c r="B656" s="9" t="s">
        <v>679</v>
      </c>
      <c r="C656" s="32">
        <v>51009006331</v>
      </c>
      <c r="D656" s="1" t="s">
        <v>1810</v>
      </c>
      <c r="E656" s="36">
        <f>E12*74.25</f>
        <v>5494.5</v>
      </c>
      <c r="F656" s="36">
        <f t="shared" si="44"/>
        <v>5219.7749999999996</v>
      </c>
      <c r="G656" s="26">
        <f t="shared" si="45"/>
        <v>4945.05</v>
      </c>
      <c r="H656" s="26">
        <f t="shared" si="46"/>
        <v>4670.3249999999998</v>
      </c>
    </row>
    <row r="657" spans="1:8" x14ac:dyDescent="0.2">
      <c r="A657" s="31">
        <f t="shared" ref="A657:A720" si="47">A656+1</f>
        <v>643</v>
      </c>
      <c r="B657" s="9" t="s">
        <v>906</v>
      </c>
      <c r="C657" s="32">
        <v>51009006603</v>
      </c>
      <c r="D657" s="1" t="s">
        <v>1811</v>
      </c>
      <c r="E657" s="36">
        <f>E12*77.35</f>
        <v>5723.9</v>
      </c>
      <c r="F657" s="36">
        <f t="shared" si="44"/>
        <v>5437.7049999999999</v>
      </c>
      <c r="G657" s="26">
        <f t="shared" si="45"/>
        <v>5151.5099999999993</v>
      </c>
      <c r="H657" s="26">
        <f t="shared" si="46"/>
        <v>4865.3149999999996</v>
      </c>
    </row>
    <row r="658" spans="1:8" x14ac:dyDescent="0.2">
      <c r="A658" s="31">
        <f t="shared" si="47"/>
        <v>644</v>
      </c>
      <c r="B658" s="9" t="s">
        <v>147</v>
      </c>
      <c r="C658" s="32">
        <v>4421300008</v>
      </c>
      <c r="D658" s="1" t="s">
        <v>1812</v>
      </c>
      <c r="E658" s="36">
        <f>E12*31.02</f>
        <v>2295.48</v>
      </c>
      <c r="F658" s="36">
        <f t="shared" si="44"/>
        <v>2180.7060000000001</v>
      </c>
      <c r="G658" s="26">
        <f t="shared" si="45"/>
        <v>2065.9319999999998</v>
      </c>
      <c r="H658" s="26">
        <f t="shared" si="46"/>
        <v>1951.1579999999999</v>
      </c>
    </row>
    <row r="659" spans="1:8" x14ac:dyDescent="0.2">
      <c r="A659" s="31">
        <f t="shared" si="47"/>
        <v>645</v>
      </c>
      <c r="B659" s="9" t="s">
        <v>386</v>
      </c>
      <c r="C659" s="32">
        <v>4421300308</v>
      </c>
      <c r="D659" s="1" t="s">
        <v>1813</v>
      </c>
      <c r="E659" s="36">
        <f>E12*54.9</f>
        <v>4062.6</v>
      </c>
      <c r="F659" s="36">
        <f t="shared" si="44"/>
        <v>3859.47</v>
      </c>
      <c r="G659" s="26">
        <f t="shared" si="45"/>
        <v>3656.34</v>
      </c>
      <c r="H659" s="26">
        <f t="shared" si="46"/>
        <v>3453.21</v>
      </c>
    </row>
    <row r="660" spans="1:8" x14ac:dyDescent="0.2">
      <c r="A660" s="31">
        <f t="shared" si="47"/>
        <v>646</v>
      </c>
      <c r="B660" s="9" t="s">
        <v>878</v>
      </c>
      <c r="C660" s="32">
        <v>4411300008</v>
      </c>
      <c r="D660" s="1" t="s">
        <v>1814</v>
      </c>
      <c r="E660" s="36">
        <f>E12*83.09</f>
        <v>6148.66</v>
      </c>
      <c r="F660" s="36">
        <f t="shared" si="44"/>
        <v>5841.2269999999999</v>
      </c>
      <c r="G660" s="26">
        <f t="shared" si="45"/>
        <v>5533.7939999999999</v>
      </c>
      <c r="H660" s="26">
        <f t="shared" si="46"/>
        <v>5226.3609999999999</v>
      </c>
    </row>
    <row r="661" spans="1:8" x14ac:dyDescent="0.2">
      <c r="A661" s="31">
        <f t="shared" si="47"/>
        <v>647</v>
      </c>
      <c r="B661" s="9" t="s">
        <v>244</v>
      </c>
      <c r="C661" s="32">
        <v>3469930110</v>
      </c>
      <c r="D661" s="1" t="s">
        <v>1815</v>
      </c>
      <c r="E661" s="36">
        <f>E12*1.63</f>
        <v>120.61999999999999</v>
      </c>
      <c r="F661" s="36">
        <f t="shared" si="44"/>
        <v>114.58899999999998</v>
      </c>
      <c r="G661" s="26">
        <f t="shared" si="45"/>
        <v>108.55799999999999</v>
      </c>
      <c r="H661" s="26">
        <f t="shared" si="46"/>
        <v>102.52699999999999</v>
      </c>
    </row>
    <row r="662" spans="1:8" x14ac:dyDescent="0.2">
      <c r="A662" s="31">
        <f t="shared" si="47"/>
        <v>648</v>
      </c>
      <c r="B662" s="9" t="s">
        <v>758</v>
      </c>
      <c r="C662" s="32">
        <v>3414210092</v>
      </c>
      <c r="D662" s="1" t="s">
        <v>1816</v>
      </c>
      <c r="E662" s="36">
        <f>E12*3.5</f>
        <v>259</v>
      </c>
      <c r="F662" s="36">
        <f t="shared" si="44"/>
        <v>246.05</v>
      </c>
      <c r="G662" s="26">
        <f t="shared" si="45"/>
        <v>233.1</v>
      </c>
      <c r="H662" s="26">
        <f t="shared" si="46"/>
        <v>220.15</v>
      </c>
    </row>
    <row r="663" spans="1:8" x14ac:dyDescent="0.2">
      <c r="A663" s="31">
        <f t="shared" si="47"/>
        <v>649</v>
      </c>
      <c r="B663" s="9" t="s">
        <v>759</v>
      </c>
      <c r="C663" s="32">
        <v>6179931010</v>
      </c>
      <c r="D663" s="1" t="s">
        <v>1817</v>
      </c>
      <c r="E663" s="36">
        <f>E12*1.03</f>
        <v>76.22</v>
      </c>
      <c r="F663" s="36">
        <f t="shared" si="44"/>
        <v>72.408999999999992</v>
      </c>
      <c r="G663" s="26">
        <f t="shared" si="45"/>
        <v>68.597999999999999</v>
      </c>
      <c r="H663" s="26">
        <f t="shared" si="46"/>
        <v>64.787000000000006</v>
      </c>
    </row>
    <row r="664" spans="1:8" x14ac:dyDescent="0.2">
      <c r="A664" s="31">
        <f t="shared" si="47"/>
        <v>650</v>
      </c>
      <c r="B664" s="9">
        <v>3054231020</v>
      </c>
      <c r="C664" s="32">
        <v>6594201644</v>
      </c>
      <c r="D664" s="1" t="s">
        <v>1818</v>
      </c>
      <c r="E664" s="36">
        <f>E12*27.6</f>
        <v>2042.4</v>
      </c>
      <c r="F664" s="36">
        <f t="shared" si="44"/>
        <v>1940.2800000000002</v>
      </c>
      <c r="G664" s="26">
        <f t="shared" si="45"/>
        <v>1838.16</v>
      </c>
      <c r="H664" s="26">
        <f t="shared" si="46"/>
        <v>1736.04</v>
      </c>
    </row>
    <row r="665" spans="1:8" x14ac:dyDescent="0.2">
      <c r="A665" s="31">
        <f t="shared" si="47"/>
        <v>651</v>
      </c>
      <c r="B665" s="9">
        <v>3054231120</v>
      </c>
      <c r="C665" s="32">
        <v>6594201744</v>
      </c>
      <c r="D665" s="1" t="s">
        <v>1819</v>
      </c>
      <c r="E665" s="36">
        <f>E12*27.6</f>
        <v>2042.4</v>
      </c>
      <c r="F665" s="36">
        <f t="shared" si="44"/>
        <v>1940.2800000000002</v>
      </c>
      <c r="G665" s="26">
        <f t="shared" si="45"/>
        <v>1838.16</v>
      </c>
      <c r="H665" s="26">
        <f t="shared" si="46"/>
        <v>1736.04</v>
      </c>
    </row>
    <row r="666" spans="1:8" x14ac:dyDescent="0.2">
      <c r="A666" s="31">
        <f t="shared" si="47"/>
        <v>652</v>
      </c>
      <c r="B666" s="9" t="s">
        <v>966</v>
      </c>
      <c r="C666" s="32" t="s">
        <v>1821</v>
      </c>
      <c r="D666" s="1" t="s">
        <v>1820</v>
      </c>
      <c r="E666" s="36">
        <f>E12*76.08</f>
        <v>5629.92</v>
      </c>
      <c r="F666" s="36">
        <f t="shared" si="44"/>
        <v>5348.424</v>
      </c>
      <c r="G666" s="26">
        <f t="shared" si="45"/>
        <v>5066.9279999999999</v>
      </c>
      <c r="H666" s="26">
        <f t="shared" si="46"/>
        <v>4785.4319999999998</v>
      </c>
    </row>
    <row r="667" spans="1:8" x14ac:dyDescent="0.2">
      <c r="A667" s="31">
        <f t="shared" si="47"/>
        <v>653</v>
      </c>
      <c r="B667" s="9" t="s">
        <v>1044</v>
      </c>
      <c r="C667" s="32" t="s">
        <v>1823</v>
      </c>
      <c r="D667" s="1" t="s">
        <v>1822</v>
      </c>
      <c r="E667" s="36">
        <f>E12*80.46</f>
        <v>5954.04</v>
      </c>
      <c r="F667" s="36">
        <f t="shared" si="44"/>
        <v>5656.3379999999997</v>
      </c>
      <c r="G667" s="26">
        <f t="shared" si="45"/>
        <v>5358.6360000000004</v>
      </c>
      <c r="H667" s="26">
        <f t="shared" si="46"/>
        <v>5060.9340000000002</v>
      </c>
    </row>
    <row r="668" spans="1:8" x14ac:dyDescent="0.2">
      <c r="A668" s="31">
        <f t="shared" si="47"/>
        <v>654</v>
      </c>
      <c r="B668" s="9" t="s">
        <v>1239</v>
      </c>
      <c r="C668" s="32" t="s">
        <v>1825</v>
      </c>
      <c r="D668" s="1" t="s">
        <v>1824</v>
      </c>
      <c r="E668" s="36">
        <f>E12*511</f>
        <v>37814</v>
      </c>
      <c r="F668" s="36">
        <f t="shared" si="44"/>
        <v>35923.300000000003</v>
      </c>
      <c r="G668" s="26">
        <f t="shared" si="45"/>
        <v>34032.6</v>
      </c>
      <c r="H668" s="26">
        <f t="shared" si="46"/>
        <v>32141.9</v>
      </c>
    </row>
    <row r="669" spans="1:8" x14ac:dyDescent="0.2">
      <c r="A669" s="31">
        <f t="shared" si="47"/>
        <v>655</v>
      </c>
      <c r="B669" s="9" t="s">
        <v>1240</v>
      </c>
      <c r="C669" s="32">
        <v>6135010001</v>
      </c>
      <c r="D669" s="1" t="s">
        <v>1826</v>
      </c>
      <c r="E669" s="36">
        <f>E12*715</f>
        <v>52910</v>
      </c>
      <c r="F669" s="36">
        <f t="shared" si="44"/>
        <v>50264.5</v>
      </c>
      <c r="G669" s="26">
        <f t="shared" si="45"/>
        <v>47619</v>
      </c>
      <c r="H669" s="26">
        <f t="shared" si="46"/>
        <v>44973.5</v>
      </c>
    </row>
    <row r="670" spans="1:8" x14ac:dyDescent="0.2">
      <c r="A670" s="31">
        <f t="shared" si="47"/>
        <v>656</v>
      </c>
      <c r="B670" s="9" t="s">
        <v>1108</v>
      </c>
      <c r="C670" s="32">
        <v>3575012701</v>
      </c>
      <c r="D670" s="1" t="s">
        <v>1827</v>
      </c>
      <c r="E670" s="36">
        <f>E12*650</f>
        <v>48100</v>
      </c>
      <c r="F670" s="36">
        <f t="shared" si="44"/>
        <v>45695</v>
      </c>
      <c r="G670" s="26">
        <f t="shared" si="45"/>
        <v>43290</v>
      </c>
      <c r="H670" s="26">
        <f t="shared" si="46"/>
        <v>40885</v>
      </c>
    </row>
    <row r="671" spans="1:8" s="29" customFormat="1" x14ac:dyDescent="0.2">
      <c r="A671" s="31">
        <f t="shared" si="47"/>
        <v>657</v>
      </c>
      <c r="B671" s="32"/>
      <c r="C671" s="32" t="s">
        <v>1829</v>
      </c>
      <c r="D671" s="30" t="s">
        <v>1828</v>
      </c>
      <c r="E671" s="36">
        <f>E12*719</f>
        <v>53206</v>
      </c>
      <c r="F671" s="36">
        <f t="shared" si="44"/>
        <v>50545.7</v>
      </c>
      <c r="G671" s="26">
        <f t="shared" si="45"/>
        <v>47885.4</v>
      </c>
      <c r="H671" s="26">
        <f t="shared" si="46"/>
        <v>45225.1</v>
      </c>
    </row>
    <row r="672" spans="1:8" s="29" customFormat="1" x14ac:dyDescent="0.2">
      <c r="A672" s="31">
        <f t="shared" si="47"/>
        <v>658</v>
      </c>
      <c r="B672" s="32"/>
      <c r="C672" s="32" t="s">
        <v>1831</v>
      </c>
      <c r="D672" s="30" t="s">
        <v>1830</v>
      </c>
      <c r="E672" s="36">
        <f>E12*917</f>
        <v>67858</v>
      </c>
      <c r="F672" s="36">
        <f t="shared" si="44"/>
        <v>64465.1</v>
      </c>
      <c r="G672" s="26">
        <f t="shared" si="45"/>
        <v>61072.2</v>
      </c>
      <c r="H672" s="26">
        <f t="shared" si="46"/>
        <v>57679.3</v>
      </c>
    </row>
    <row r="673" spans="1:8" x14ac:dyDescent="0.2">
      <c r="A673" s="31">
        <f t="shared" si="47"/>
        <v>659</v>
      </c>
      <c r="B673" s="9">
        <v>310100</v>
      </c>
      <c r="C673" s="32">
        <v>9753034730</v>
      </c>
      <c r="D673" s="1" t="s">
        <v>1832</v>
      </c>
      <c r="E673" s="36">
        <f>E12*31.21</f>
        <v>2309.54</v>
      </c>
      <c r="F673" s="36">
        <f t="shared" si="44"/>
        <v>2194.0630000000001</v>
      </c>
      <c r="G673" s="26">
        <f t="shared" si="45"/>
        <v>2078.5859999999998</v>
      </c>
      <c r="H673" s="26">
        <f t="shared" si="46"/>
        <v>1963.1089999999999</v>
      </c>
    </row>
    <row r="674" spans="1:8" x14ac:dyDescent="0.2">
      <c r="A674" s="31">
        <f t="shared" si="47"/>
        <v>660</v>
      </c>
      <c r="B674" s="9" t="s">
        <v>186</v>
      </c>
      <c r="C674" s="32">
        <v>9753001100</v>
      </c>
      <c r="D674" s="1" t="s">
        <v>1833</v>
      </c>
      <c r="E674" s="36">
        <f>E12*30.93</f>
        <v>2288.8200000000002</v>
      </c>
      <c r="F674" s="36">
        <f t="shared" si="44"/>
        <v>2174.3790000000004</v>
      </c>
      <c r="G674" s="26">
        <f t="shared" si="45"/>
        <v>2059.9380000000001</v>
      </c>
      <c r="H674" s="26">
        <f t="shared" si="46"/>
        <v>1945.4970000000001</v>
      </c>
    </row>
    <row r="675" spans="1:8" x14ac:dyDescent="0.2">
      <c r="A675" s="31">
        <f t="shared" si="47"/>
        <v>661</v>
      </c>
      <c r="B675" s="9">
        <v>310101</v>
      </c>
      <c r="C675" s="32">
        <v>9753034740</v>
      </c>
      <c r="D675" s="1" t="s">
        <v>1834</v>
      </c>
      <c r="E675" s="36">
        <f>E12*30.26</f>
        <v>2239.2400000000002</v>
      </c>
      <c r="F675" s="36">
        <f t="shared" si="44"/>
        <v>2127.2780000000002</v>
      </c>
      <c r="G675" s="26">
        <f t="shared" si="45"/>
        <v>2015.3160000000003</v>
      </c>
      <c r="H675" s="26">
        <f t="shared" si="46"/>
        <v>1903.3540000000003</v>
      </c>
    </row>
    <row r="676" spans="1:8" x14ac:dyDescent="0.2">
      <c r="A676" s="31">
        <f t="shared" si="47"/>
        <v>662</v>
      </c>
      <c r="B676" s="9" t="s">
        <v>972</v>
      </c>
      <c r="C676" s="32"/>
      <c r="D676" s="1" t="s">
        <v>228</v>
      </c>
      <c r="E676" s="36">
        <f>E12*2.58</f>
        <v>190.92000000000002</v>
      </c>
      <c r="F676" s="36">
        <f t="shared" si="44"/>
        <v>181.37400000000002</v>
      </c>
      <c r="G676" s="26">
        <f t="shared" si="45"/>
        <v>171.828</v>
      </c>
      <c r="H676" s="26">
        <f t="shared" si="46"/>
        <v>162.28200000000001</v>
      </c>
    </row>
    <row r="677" spans="1:8" x14ac:dyDescent="0.2">
      <c r="A677" s="31">
        <f t="shared" si="47"/>
        <v>663</v>
      </c>
      <c r="B677" s="9" t="s">
        <v>230</v>
      </c>
      <c r="C677" s="32"/>
      <c r="D677" s="1" t="s">
        <v>229</v>
      </c>
      <c r="E677" s="36">
        <f>E12*3.83</f>
        <v>283.42</v>
      </c>
      <c r="F677" s="36">
        <f t="shared" si="44"/>
        <v>269.24900000000002</v>
      </c>
      <c r="G677" s="26">
        <f t="shared" si="45"/>
        <v>255.078</v>
      </c>
      <c r="H677" s="26">
        <f t="shared" si="46"/>
        <v>240.90700000000001</v>
      </c>
    </row>
    <row r="678" spans="1:8" x14ac:dyDescent="0.2">
      <c r="A678" s="31">
        <f t="shared" si="47"/>
        <v>664</v>
      </c>
      <c r="B678" s="9" t="s">
        <v>237</v>
      </c>
      <c r="C678" s="32"/>
      <c r="D678" s="1" t="s">
        <v>238</v>
      </c>
      <c r="E678" s="36">
        <f>E12*3.83</f>
        <v>283.42</v>
      </c>
      <c r="F678" s="36">
        <f t="shared" si="44"/>
        <v>269.24900000000002</v>
      </c>
      <c r="G678" s="26">
        <f t="shared" si="45"/>
        <v>255.078</v>
      </c>
      <c r="H678" s="26">
        <f t="shared" si="46"/>
        <v>240.90700000000001</v>
      </c>
    </row>
    <row r="679" spans="1:8" x14ac:dyDescent="0.2">
      <c r="A679" s="31">
        <f t="shared" si="47"/>
        <v>665</v>
      </c>
      <c r="B679" s="9" t="s">
        <v>1193</v>
      </c>
      <c r="C679" s="32">
        <v>1197311316</v>
      </c>
      <c r="D679" s="1" t="s">
        <v>1835</v>
      </c>
      <c r="E679" s="36">
        <f>E12*12.31</f>
        <v>910.94</v>
      </c>
      <c r="F679" s="36">
        <f t="shared" si="44"/>
        <v>865.39300000000003</v>
      </c>
      <c r="G679" s="26">
        <f t="shared" si="45"/>
        <v>819.846</v>
      </c>
      <c r="H679" s="26">
        <f t="shared" si="46"/>
        <v>774.29900000000009</v>
      </c>
    </row>
    <row r="680" spans="1:8" x14ac:dyDescent="0.2">
      <c r="A680" s="31">
        <f t="shared" si="47"/>
        <v>666</v>
      </c>
      <c r="B680" s="9" t="s">
        <v>187</v>
      </c>
      <c r="C680" s="32"/>
      <c r="D680" s="1" t="s">
        <v>52</v>
      </c>
      <c r="E680" s="36">
        <f>E12*7.28</f>
        <v>538.72</v>
      </c>
      <c r="F680" s="36">
        <f t="shared" si="44"/>
        <v>511.78400000000005</v>
      </c>
      <c r="G680" s="26">
        <f t="shared" si="45"/>
        <v>484.84800000000001</v>
      </c>
      <c r="H680" s="26">
        <f t="shared" si="46"/>
        <v>457.91200000000003</v>
      </c>
    </row>
    <row r="681" spans="1:8" x14ac:dyDescent="0.2">
      <c r="A681" s="31">
        <f t="shared" si="47"/>
        <v>667</v>
      </c>
      <c r="B681" s="9" t="s">
        <v>188</v>
      </c>
      <c r="C681" s="32">
        <v>90215143</v>
      </c>
      <c r="D681" s="1" t="s">
        <v>53</v>
      </c>
      <c r="E681" s="36">
        <f>E12*11.7</f>
        <v>865.8</v>
      </c>
      <c r="F681" s="36">
        <f t="shared" si="44"/>
        <v>822.51</v>
      </c>
      <c r="G681" s="26">
        <f t="shared" si="45"/>
        <v>779.21999999999991</v>
      </c>
      <c r="H681" s="26">
        <f t="shared" si="46"/>
        <v>735.93</v>
      </c>
    </row>
    <row r="682" spans="1:8" x14ac:dyDescent="0.2">
      <c r="A682" s="31">
        <f t="shared" si="47"/>
        <v>668</v>
      </c>
      <c r="B682" s="9" t="s">
        <v>316</v>
      </c>
      <c r="C682" s="32">
        <v>81253110023</v>
      </c>
      <c r="D682" s="1" t="s">
        <v>1836</v>
      </c>
      <c r="E682" s="36">
        <f>E12*11</f>
        <v>814</v>
      </c>
      <c r="F682" s="36">
        <f t="shared" si="44"/>
        <v>773.3</v>
      </c>
      <c r="G682" s="26">
        <f t="shared" si="45"/>
        <v>732.6</v>
      </c>
      <c r="H682" s="26">
        <f t="shared" si="46"/>
        <v>691.9</v>
      </c>
    </row>
    <row r="683" spans="1:8" x14ac:dyDescent="0.2">
      <c r="A683" s="31">
        <f t="shared" si="47"/>
        <v>669</v>
      </c>
      <c r="B683" s="9">
        <v>950800036871</v>
      </c>
      <c r="C683" s="32"/>
      <c r="D683" s="1" t="s">
        <v>1003</v>
      </c>
      <c r="E683" s="36">
        <f>E12*6.58</f>
        <v>486.92</v>
      </c>
      <c r="F683" s="36">
        <f t="shared" si="44"/>
        <v>462.57400000000001</v>
      </c>
      <c r="G683" s="26">
        <f t="shared" si="45"/>
        <v>438.22800000000001</v>
      </c>
      <c r="H683" s="26">
        <f t="shared" si="46"/>
        <v>413.88200000000001</v>
      </c>
    </row>
    <row r="684" spans="1:8" x14ac:dyDescent="0.2">
      <c r="A684" s="31">
        <f t="shared" si="47"/>
        <v>670</v>
      </c>
      <c r="B684" s="9"/>
      <c r="C684" s="32"/>
      <c r="D684" s="1" t="s">
        <v>905</v>
      </c>
      <c r="E684" s="36">
        <f>E12*2.45</f>
        <v>181.3</v>
      </c>
      <c r="F684" s="36">
        <f t="shared" si="44"/>
        <v>172.23500000000001</v>
      </c>
      <c r="G684" s="26">
        <f t="shared" si="45"/>
        <v>163.17000000000002</v>
      </c>
      <c r="H684" s="26">
        <f t="shared" si="46"/>
        <v>154.10500000000002</v>
      </c>
    </row>
    <row r="685" spans="1:8" x14ac:dyDescent="0.2">
      <c r="A685" s="31">
        <f t="shared" si="47"/>
        <v>671</v>
      </c>
      <c r="B685" s="9"/>
      <c r="C685" s="32"/>
      <c r="D685" s="1" t="s">
        <v>274</v>
      </c>
      <c r="E685" s="36">
        <f>E12*1.7</f>
        <v>125.8</v>
      </c>
      <c r="F685" s="36">
        <f t="shared" si="44"/>
        <v>119.50999999999999</v>
      </c>
      <c r="G685" s="26">
        <f t="shared" si="45"/>
        <v>113.22</v>
      </c>
      <c r="H685" s="26">
        <f t="shared" si="46"/>
        <v>106.93</v>
      </c>
    </row>
    <row r="686" spans="1:8" x14ac:dyDescent="0.2">
      <c r="A686" s="31">
        <f t="shared" si="47"/>
        <v>672</v>
      </c>
      <c r="B686" s="9"/>
      <c r="C686" s="32"/>
      <c r="D686" s="1" t="s">
        <v>818</v>
      </c>
      <c r="E686" s="36">
        <f>E12*1.95</f>
        <v>144.29999999999998</v>
      </c>
      <c r="F686" s="36">
        <f t="shared" si="44"/>
        <v>137.08499999999998</v>
      </c>
      <c r="G686" s="26">
        <f t="shared" si="45"/>
        <v>129.86999999999998</v>
      </c>
      <c r="H686" s="26">
        <f t="shared" si="46"/>
        <v>122.65499999999999</v>
      </c>
    </row>
    <row r="687" spans="1:8" x14ac:dyDescent="0.2">
      <c r="A687" s="31">
        <f t="shared" si="47"/>
        <v>673</v>
      </c>
      <c r="B687" s="9"/>
      <c r="C687" s="32"/>
      <c r="D687" s="1" t="s">
        <v>950</v>
      </c>
      <c r="E687" s="36">
        <f>E12*1.95</f>
        <v>144.29999999999998</v>
      </c>
      <c r="F687" s="36">
        <f t="shared" si="44"/>
        <v>137.08499999999998</v>
      </c>
      <c r="G687" s="26">
        <f t="shared" si="45"/>
        <v>129.86999999999998</v>
      </c>
      <c r="H687" s="26">
        <f t="shared" si="46"/>
        <v>122.65499999999999</v>
      </c>
    </row>
    <row r="688" spans="1:8" x14ac:dyDescent="0.2">
      <c r="A688" s="31">
        <f t="shared" si="47"/>
        <v>674</v>
      </c>
      <c r="B688" s="9"/>
      <c r="C688" s="32"/>
      <c r="D688" s="1" t="s">
        <v>544</v>
      </c>
      <c r="E688" s="36">
        <f>E12*2.53</f>
        <v>187.22</v>
      </c>
      <c r="F688" s="36">
        <f t="shared" si="44"/>
        <v>177.85900000000001</v>
      </c>
      <c r="G688" s="26">
        <f t="shared" si="45"/>
        <v>168.49799999999999</v>
      </c>
      <c r="H688" s="26">
        <f t="shared" si="46"/>
        <v>159.137</v>
      </c>
    </row>
    <row r="689" spans="1:8" x14ac:dyDescent="0.2">
      <c r="A689" s="31">
        <f t="shared" si="47"/>
        <v>675</v>
      </c>
      <c r="B689" s="9"/>
      <c r="C689" s="32"/>
      <c r="D689" s="1" t="s">
        <v>531</v>
      </c>
      <c r="E689" s="36">
        <f>E12*2.4</f>
        <v>177.6</v>
      </c>
      <c r="F689" s="36">
        <f t="shared" ref="F689:F749" si="48">E689-E689*5%</f>
        <v>168.72</v>
      </c>
      <c r="G689" s="26">
        <f t="shared" ref="G689:G749" si="49">E689-E689*10%</f>
        <v>159.84</v>
      </c>
      <c r="H689" s="26">
        <f t="shared" ref="H689:H749" si="50">E689-E689*15%</f>
        <v>150.96</v>
      </c>
    </row>
    <row r="690" spans="1:8" x14ac:dyDescent="0.2">
      <c r="A690" s="31">
        <f t="shared" si="47"/>
        <v>676</v>
      </c>
      <c r="B690" s="9"/>
      <c r="C690" s="32"/>
      <c r="D690" s="1" t="s">
        <v>275</v>
      </c>
      <c r="E690" s="36">
        <f>E12*2.68</f>
        <v>198.32000000000002</v>
      </c>
      <c r="F690" s="36">
        <f t="shared" si="48"/>
        <v>188.40400000000002</v>
      </c>
      <c r="G690" s="26">
        <f t="shared" si="49"/>
        <v>178.48800000000003</v>
      </c>
      <c r="H690" s="26">
        <f t="shared" si="50"/>
        <v>168.57200000000003</v>
      </c>
    </row>
    <row r="691" spans="1:8" x14ac:dyDescent="0.2">
      <c r="A691" s="31">
        <f t="shared" si="47"/>
        <v>677</v>
      </c>
      <c r="B691" s="9"/>
      <c r="C691" s="32"/>
      <c r="D691" s="1" t="s">
        <v>701</v>
      </c>
      <c r="E691" s="36">
        <f>E12*2.83</f>
        <v>209.42000000000002</v>
      </c>
      <c r="F691" s="36">
        <f t="shared" si="48"/>
        <v>198.94900000000001</v>
      </c>
      <c r="G691" s="26">
        <f t="shared" si="49"/>
        <v>188.47800000000001</v>
      </c>
      <c r="H691" s="26">
        <f t="shared" si="50"/>
        <v>178.00700000000001</v>
      </c>
    </row>
    <row r="692" spans="1:8" x14ac:dyDescent="0.2">
      <c r="A692" s="31">
        <f t="shared" si="47"/>
        <v>678</v>
      </c>
      <c r="B692" s="9"/>
      <c r="C692" s="32"/>
      <c r="D692" s="1" t="s">
        <v>737</v>
      </c>
      <c r="E692" s="36">
        <f>E12*2.95</f>
        <v>218.3</v>
      </c>
      <c r="F692" s="36">
        <f t="shared" si="48"/>
        <v>207.38500000000002</v>
      </c>
      <c r="G692" s="26">
        <f t="shared" si="49"/>
        <v>196.47</v>
      </c>
      <c r="H692" s="26">
        <f t="shared" si="50"/>
        <v>185.55500000000001</v>
      </c>
    </row>
    <row r="693" spans="1:8" x14ac:dyDescent="0.2">
      <c r="A693" s="31">
        <f t="shared" si="47"/>
        <v>679</v>
      </c>
      <c r="B693" s="9"/>
      <c r="C693" s="32"/>
      <c r="D693" s="1" t="s">
        <v>702</v>
      </c>
      <c r="E693" s="36">
        <f>E12*3.1</f>
        <v>229.4</v>
      </c>
      <c r="F693" s="36">
        <f t="shared" si="48"/>
        <v>217.93</v>
      </c>
      <c r="G693" s="26">
        <f t="shared" si="49"/>
        <v>206.46</v>
      </c>
      <c r="H693" s="26">
        <f t="shared" si="50"/>
        <v>194.99</v>
      </c>
    </row>
    <row r="694" spans="1:8" x14ac:dyDescent="0.2">
      <c r="A694" s="31">
        <f t="shared" si="47"/>
        <v>680</v>
      </c>
      <c r="B694" s="9"/>
      <c r="C694" s="32"/>
      <c r="D694" s="1" t="s">
        <v>276</v>
      </c>
      <c r="E694" s="36">
        <f>E12*3.16</f>
        <v>233.84</v>
      </c>
      <c r="F694" s="36">
        <f t="shared" si="48"/>
        <v>222.148</v>
      </c>
      <c r="G694" s="26">
        <f t="shared" si="49"/>
        <v>210.45600000000002</v>
      </c>
      <c r="H694" s="26">
        <f t="shared" si="50"/>
        <v>198.76400000000001</v>
      </c>
    </row>
    <row r="695" spans="1:8" x14ac:dyDescent="0.2">
      <c r="A695" s="31">
        <f t="shared" si="47"/>
        <v>681</v>
      </c>
      <c r="B695" s="9"/>
      <c r="C695" s="32"/>
      <c r="D695" s="1" t="s">
        <v>277</v>
      </c>
      <c r="E695" s="36">
        <f>E12*3.25</f>
        <v>240.5</v>
      </c>
      <c r="F695" s="36">
        <f t="shared" si="48"/>
        <v>228.47499999999999</v>
      </c>
      <c r="G695" s="26">
        <f t="shared" si="49"/>
        <v>216.45</v>
      </c>
      <c r="H695" s="26">
        <f t="shared" si="50"/>
        <v>204.42500000000001</v>
      </c>
    </row>
    <row r="696" spans="1:8" x14ac:dyDescent="0.2">
      <c r="A696" s="31">
        <f t="shared" si="47"/>
        <v>682</v>
      </c>
      <c r="B696" s="9"/>
      <c r="C696" s="32"/>
      <c r="D696" s="1" t="s">
        <v>925</v>
      </c>
      <c r="E696" s="36">
        <f>E12*3.31</f>
        <v>244.94</v>
      </c>
      <c r="F696" s="36">
        <f t="shared" si="48"/>
        <v>232.69299999999998</v>
      </c>
      <c r="G696" s="26">
        <f t="shared" si="49"/>
        <v>220.446</v>
      </c>
      <c r="H696" s="26">
        <f t="shared" si="50"/>
        <v>208.19900000000001</v>
      </c>
    </row>
    <row r="697" spans="1:8" x14ac:dyDescent="0.2">
      <c r="A697" s="31">
        <f t="shared" si="47"/>
        <v>683</v>
      </c>
      <c r="B697" s="9"/>
      <c r="C697" s="32"/>
      <c r="D697" s="1" t="s">
        <v>700</v>
      </c>
      <c r="E697" s="36">
        <f>E12*3.41</f>
        <v>252.34</v>
      </c>
      <c r="F697" s="36">
        <f t="shared" si="48"/>
        <v>239.72300000000001</v>
      </c>
      <c r="G697" s="26">
        <f t="shared" si="49"/>
        <v>227.10599999999999</v>
      </c>
      <c r="H697" s="26">
        <f t="shared" si="50"/>
        <v>214.489</v>
      </c>
    </row>
    <row r="698" spans="1:8" x14ac:dyDescent="0.2">
      <c r="A698" s="31">
        <f t="shared" si="47"/>
        <v>684</v>
      </c>
      <c r="B698" s="9"/>
      <c r="C698" s="32"/>
      <c r="D698" s="1" t="s">
        <v>278</v>
      </c>
      <c r="E698" s="36">
        <f>E12*3.45</f>
        <v>255.3</v>
      </c>
      <c r="F698" s="36">
        <f t="shared" si="48"/>
        <v>242.53500000000003</v>
      </c>
      <c r="G698" s="26">
        <f t="shared" si="49"/>
        <v>229.77</v>
      </c>
      <c r="H698" s="26">
        <f t="shared" si="50"/>
        <v>217.005</v>
      </c>
    </row>
    <row r="699" spans="1:8" x14ac:dyDescent="0.2">
      <c r="A699" s="31">
        <f t="shared" si="47"/>
        <v>685</v>
      </c>
      <c r="B699" s="9"/>
      <c r="C699" s="32"/>
      <c r="D699" s="1" t="s">
        <v>279</v>
      </c>
      <c r="E699" s="36">
        <f>E12*3.27</f>
        <v>241.98</v>
      </c>
      <c r="F699" s="36">
        <f t="shared" si="48"/>
        <v>229.881</v>
      </c>
      <c r="G699" s="26">
        <f t="shared" si="49"/>
        <v>217.78199999999998</v>
      </c>
      <c r="H699" s="26">
        <f t="shared" si="50"/>
        <v>205.68299999999999</v>
      </c>
    </row>
    <row r="700" spans="1:8" x14ac:dyDescent="0.2">
      <c r="A700" s="31">
        <f t="shared" si="47"/>
        <v>686</v>
      </c>
      <c r="B700" s="9"/>
      <c r="C700" s="32"/>
      <c r="D700" s="1" t="s">
        <v>280</v>
      </c>
      <c r="E700" s="36">
        <f>E12*3.78</f>
        <v>279.71999999999997</v>
      </c>
      <c r="F700" s="36">
        <f t="shared" si="48"/>
        <v>265.73399999999998</v>
      </c>
      <c r="G700" s="26">
        <f t="shared" si="49"/>
        <v>251.74799999999996</v>
      </c>
      <c r="H700" s="26">
        <f t="shared" si="50"/>
        <v>237.76199999999997</v>
      </c>
    </row>
    <row r="701" spans="1:8" x14ac:dyDescent="0.2">
      <c r="A701" s="31">
        <f t="shared" si="47"/>
        <v>687</v>
      </c>
      <c r="B701" s="9"/>
      <c r="C701" s="32"/>
      <c r="D701" s="1" t="s">
        <v>532</v>
      </c>
      <c r="E701" s="36">
        <f>E12*3.66</f>
        <v>270.84000000000003</v>
      </c>
      <c r="F701" s="36">
        <f t="shared" si="48"/>
        <v>257.298</v>
      </c>
      <c r="G701" s="26">
        <f t="shared" si="49"/>
        <v>243.75600000000003</v>
      </c>
      <c r="H701" s="26">
        <f t="shared" si="50"/>
        <v>230.21400000000003</v>
      </c>
    </row>
    <row r="702" spans="1:8" x14ac:dyDescent="0.2">
      <c r="A702" s="31">
        <f t="shared" si="47"/>
        <v>688</v>
      </c>
      <c r="B702" s="9"/>
      <c r="C702" s="32"/>
      <c r="D702" s="1" t="s">
        <v>533</v>
      </c>
      <c r="E702" s="36">
        <f>E12*3.4</f>
        <v>251.6</v>
      </c>
      <c r="F702" s="36">
        <f t="shared" si="48"/>
        <v>239.01999999999998</v>
      </c>
      <c r="G702" s="26">
        <f t="shared" si="49"/>
        <v>226.44</v>
      </c>
      <c r="H702" s="26">
        <f t="shared" si="50"/>
        <v>213.86</v>
      </c>
    </row>
    <row r="703" spans="1:8" x14ac:dyDescent="0.2">
      <c r="A703" s="31">
        <f t="shared" si="47"/>
        <v>689</v>
      </c>
      <c r="B703" s="9"/>
      <c r="C703" s="32"/>
      <c r="D703" s="1" t="s">
        <v>281</v>
      </c>
      <c r="E703" s="36">
        <f>E12*3.8</f>
        <v>281.2</v>
      </c>
      <c r="F703" s="36">
        <f t="shared" si="48"/>
        <v>267.14</v>
      </c>
      <c r="G703" s="26">
        <f t="shared" si="49"/>
        <v>253.07999999999998</v>
      </c>
      <c r="H703" s="26">
        <f t="shared" si="50"/>
        <v>239.01999999999998</v>
      </c>
    </row>
    <row r="704" spans="1:8" x14ac:dyDescent="0.2">
      <c r="A704" s="31">
        <f t="shared" si="47"/>
        <v>690</v>
      </c>
      <c r="B704" s="9"/>
      <c r="C704" s="32"/>
      <c r="D704" s="1" t="s">
        <v>534</v>
      </c>
      <c r="E704" s="36">
        <f>E12*3.86</f>
        <v>285.64</v>
      </c>
      <c r="F704" s="36">
        <f t="shared" si="48"/>
        <v>271.358</v>
      </c>
      <c r="G704" s="26">
        <f t="shared" si="49"/>
        <v>257.07599999999996</v>
      </c>
      <c r="H704" s="26">
        <f t="shared" si="50"/>
        <v>242.79399999999998</v>
      </c>
    </row>
    <row r="705" spans="1:8" x14ac:dyDescent="0.2">
      <c r="A705" s="31">
        <f t="shared" si="47"/>
        <v>691</v>
      </c>
      <c r="B705" s="9"/>
      <c r="C705" s="32"/>
      <c r="D705" s="1" t="s">
        <v>535</v>
      </c>
      <c r="E705" s="36">
        <f>E12*3.93</f>
        <v>290.82</v>
      </c>
      <c r="F705" s="36">
        <f t="shared" si="48"/>
        <v>276.279</v>
      </c>
      <c r="G705" s="26">
        <f t="shared" si="49"/>
        <v>261.738</v>
      </c>
      <c r="H705" s="26">
        <f t="shared" si="50"/>
        <v>247.197</v>
      </c>
    </row>
    <row r="706" spans="1:8" x14ac:dyDescent="0.2">
      <c r="A706" s="31">
        <f t="shared" si="47"/>
        <v>692</v>
      </c>
      <c r="B706" s="9"/>
      <c r="C706" s="32"/>
      <c r="D706" s="1" t="s">
        <v>536</v>
      </c>
      <c r="E706" s="36">
        <f>E12*3.01</f>
        <v>222.73999999999998</v>
      </c>
      <c r="F706" s="36">
        <f t="shared" si="48"/>
        <v>211.60299999999998</v>
      </c>
      <c r="G706" s="26">
        <f t="shared" si="49"/>
        <v>200.46599999999998</v>
      </c>
      <c r="H706" s="26">
        <f t="shared" si="50"/>
        <v>189.32899999999998</v>
      </c>
    </row>
    <row r="707" spans="1:8" x14ac:dyDescent="0.2">
      <c r="A707" s="31">
        <f t="shared" si="47"/>
        <v>693</v>
      </c>
      <c r="B707" s="9"/>
      <c r="C707" s="32"/>
      <c r="D707" s="1" t="s">
        <v>282</v>
      </c>
      <c r="E707" s="36">
        <f>E12*4.08</f>
        <v>301.92</v>
      </c>
      <c r="F707" s="36">
        <f t="shared" si="48"/>
        <v>286.82400000000001</v>
      </c>
      <c r="G707" s="26">
        <f t="shared" si="49"/>
        <v>271.72800000000001</v>
      </c>
      <c r="H707" s="26">
        <f t="shared" si="50"/>
        <v>256.63200000000001</v>
      </c>
    </row>
    <row r="708" spans="1:8" x14ac:dyDescent="0.2">
      <c r="A708" s="31">
        <f t="shared" si="47"/>
        <v>694</v>
      </c>
      <c r="B708" s="9"/>
      <c r="C708" s="32"/>
      <c r="D708" s="1" t="s">
        <v>283</v>
      </c>
      <c r="E708" s="36">
        <f>E12*4.08</f>
        <v>301.92</v>
      </c>
      <c r="F708" s="36">
        <f t="shared" si="48"/>
        <v>286.82400000000001</v>
      </c>
      <c r="G708" s="26">
        <f t="shared" si="49"/>
        <v>271.72800000000001</v>
      </c>
      <c r="H708" s="26">
        <f t="shared" si="50"/>
        <v>256.63200000000001</v>
      </c>
    </row>
    <row r="709" spans="1:8" x14ac:dyDescent="0.2">
      <c r="A709" s="31">
        <f t="shared" si="47"/>
        <v>695</v>
      </c>
      <c r="B709" s="9"/>
      <c r="C709" s="32"/>
      <c r="D709" s="1" t="s">
        <v>738</v>
      </c>
      <c r="E709" s="36">
        <f>E12*4.58</f>
        <v>338.92</v>
      </c>
      <c r="F709" s="36">
        <f t="shared" si="48"/>
        <v>321.97399999999999</v>
      </c>
      <c r="G709" s="26">
        <f t="shared" si="49"/>
        <v>305.02800000000002</v>
      </c>
      <c r="H709" s="26">
        <f t="shared" si="50"/>
        <v>288.08199999999999</v>
      </c>
    </row>
    <row r="710" spans="1:8" x14ac:dyDescent="0.2">
      <c r="A710" s="31">
        <f t="shared" si="47"/>
        <v>696</v>
      </c>
      <c r="B710" s="9"/>
      <c r="C710" s="32"/>
      <c r="D710" s="1" t="s">
        <v>703</v>
      </c>
      <c r="E710" s="36">
        <f>E12*4.35</f>
        <v>321.89999999999998</v>
      </c>
      <c r="F710" s="36">
        <f t="shared" si="48"/>
        <v>305.80499999999995</v>
      </c>
      <c r="G710" s="26">
        <f t="shared" si="49"/>
        <v>289.70999999999998</v>
      </c>
      <c r="H710" s="26">
        <f t="shared" si="50"/>
        <v>273.61500000000001</v>
      </c>
    </row>
    <row r="711" spans="1:8" x14ac:dyDescent="0.2">
      <c r="A711" s="31">
        <f t="shared" si="47"/>
        <v>697</v>
      </c>
      <c r="B711" s="9"/>
      <c r="C711" s="32"/>
      <c r="D711" s="1" t="s">
        <v>284</v>
      </c>
      <c r="E711" s="36">
        <f>E12*4.36</f>
        <v>322.64000000000004</v>
      </c>
      <c r="F711" s="36">
        <f t="shared" si="48"/>
        <v>306.50800000000004</v>
      </c>
      <c r="G711" s="26">
        <f t="shared" si="49"/>
        <v>290.37600000000003</v>
      </c>
      <c r="H711" s="26">
        <f t="shared" si="50"/>
        <v>274.24400000000003</v>
      </c>
    </row>
    <row r="712" spans="1:8" x14ac:dyDescent="0.2">
      <c r="A712" s="31">
        <f t="shared" si="47"/>
        <v>698</v>
      </c>
      <c r="B712" s="9"/>
      <c r="C712" s="32"/>
      <c r="D712" s="1" t="s">
        <v>715</v>
      </c>
      <c r="E712" s="36">
        <f>E12*4.05</f>
        <v>299.7</v>
      </c>
      <c r="F712" s="36">
        <f t="shared" si="48"/>
        <v>284.71499999999997</v>
      </c>
      <c r="G712" s="26">
        <f t="shared" si="49"/>
        <v>269.73</v>
      </c>
      <c r="H712" s="26">
        <f t="shared" si="50"/>
        <v>254.745</v>
      </c>
    </row>
    <row r="713" spans="1:8" x14ac:dyDescent="0.2">
      <c r="A713" s="31">
        <f t="shared" si="47"/>
        <v>699</v>
      </c>
      <c r="B713" s="9"/>
      <c r="C713" s="32"/>
      <c r="D713" s="1" t="s">
        <v>739</v>
      </c>
      <c r="E713" s="36">
        <f>E12*4.53</f>
        <v>335.22</v>
      </c>
      <c r="F713" s="36">
        <f t="shared" si="48"/>
        <v>318.459</v>
      </c>
      <c r="G713" s="26">
        <f t="shared" si="49"/>
        <v>301.69800000000004</v>
      </c>
      <c r="H713" s="26">
        <f t="shared" si="50"/>
        <v>284.93700000000001</v>
      </c>
    </row>
    <row r="714" spans="1:8" x14ac:dyDescent="0.2">
      <c r="A714" s="31">
        <f t="shared" si="47"/>
        <v>700</v>
      </c>
      <c r="B714" s="9"/>
      <c r="C714" s="32"/>
      <c r="D714" s="1" t="s">
        <v>1109</v>
      </c>
      <c r="E714" s="36">
        <f>E12*3.36</f>
        <v>248.64</v>
      </c>
      <c r="F714" s="36">
        <f t="shared" si="48"/>
        <v>236.208</v>
      </c>
      <c r="G714" s="26">
        <f t="shared" si="49"/>
        <v>223.77599999999998</v>
      </c>
      <c r="H714" s="26">
        <f t="shared" si="50"/>
        <v>211.34399999999999</v>
      </c>
    </row>
    <row r="715" spans="1:8" x14ac:dyDescent="0.2">
      <c r="A715" s="31">
        <f t="shared" si="47"/>
        <v>701</v>
      </c>
      <c r="B715" s="9"/>
      <c r="C715" s="32"/>
      <c r="D715" s="1" t="s">
        <v>1068</v>
      </c>
      <c r="E715" s="36">
        <f>E12*4.66</f>
        <v>344.84000000000003</v>
      </c>
      <c r="F715" s="36">
        <f t="shared" si="48"/>
        <v>327.59800000000001</v>
      </c>
      <c r="G715" s="26">
        <f t="shared" si="49"/>
        <v>310.35600000000005</v>
      </c>
      <c r="H715" s="26">
        <f t="shared" si="50"/>
        <v>293.11400000000003</v>
      </c>
    </row>
    <row r="716" spans="1:8" x14ac:dyDescent="0.2">
      <c r="A716" s="31">
        <f t="shared" si="47"/>
        <v>702</v>
      </c>
      <c r="B716" s="9"/>
      <c r="C716" s="32"/>
      <c r="D716" s="1" t="s">
        <v>541</v>
      </c>
      <c r="E716" s="36">
        <f>E12*4.66</f>
        <v>344.84000000000003</v>
      </c>
      <c r="F716" s="36">
        <f t="shared" si="48"/>
        <v>327.59800000000001</v>
      </c>
      <c r="G716" s="26">
        <f t="shared" si="49"/>
        <v>310.35600000000005</v>
      </c>
      <c r="H716" s="26">
        <f t="shared" si="50"/>
        <v>293.11400000000003</v>
      </c>
    </row>
    <row r="717" spans="1:8" x14ac:dyDescent="0.2">
      <c r="A717" s="31">
        <f t="shared" si="47"/>
        <v>703</v>
      </c>
      <c r="B717" s="9"/>
      <c r="C717" s="32"/>
      <c r="D717" s="1" t="s">
        <v>432</v>
      </c>
      <c r="E717" s="36">
        <f>E12*4.78</f>
        <v>353.72</v>
      </c>
      <c r="F717" s="36">
        <f t="shared" si="48"/>
        <v>336.03400000000005</v>
      </c>
      <c r="G717" s="26">
        <f t="shared" si="49"/>
        <v>318.34800000000001</v>
      </c>
      <c r="H717" s="26">
        <f t="shared" si="50"/>
        <v>300.66200000000003</v>
      </c>
    </row>
    <row r="718" spans="1:8" x14ac:dyDescent="0.2">
      <c r="A718" s="31">
        <f t="shared" si="47"/>
        <v>704</v>
      </c>
      <c r="B718" s="9"/>
      <c r="C718" s="32"/>
      <c r="D718" s="1" t="s">
        <v>542</v>
      </c>
      <c r="E718" s="36">
        <f>E12*4.91</f>
        <v>363.34000000000003</v>
      </c>
      <c r="F718" s="36">
        <f t="shared" si="48"/>
        <v>345.173</v>
      </c>
      <c r="G718" s="26">
        <f t="shared" si="49"/>
        <v>327.00600000000003</v>
      </c>
      <c r="H718" s="26">
        <f t="shared" si="50"/>
        <v>308.83900000000006</v>
      </c>
    </row>
    <row r="719" spans="1:8" x14ac:dyDescent="0.2">
      <c r="A719" s="31">
        <f t="shared" si="47"/>
        <v>705</v>
      </c>
      <c r="B719" s="9"/>
      <c r="C719" s="32"/>
      <c r="D719" s="1" t="s">
        <v>433</v>
      </c>
      <c r="E719" s="36">
        <f>E12*4.91</f>
        <v>363.34000000000003</v>
      </c>
      <c r="F719" s="36">
        <f t="shared" si="48"/>
        <v>345.173</v>
      </c>
      <c r="G719" s="26">
        <f t="shared" si="49"/>
        <v>327.00600000000003</v>
      </c>
      <c r="H719" s="26">
        <f t="shared" si="50"/>
        <v>308.83900000000006</v>
      </c>
    </row>
    <row r="720" spans="1:8" x14ac:dyDescent="0.2">
      <c r="A720" s="31">
        <f t="shared" si="47"/>
        <v>706</v>
      </c>
      <c r="B720" s="9"/>
      <c r="C720" s="32"/>
      <c r="D720" s="1" t="s">
        <v>752</v>
      </c>
      <c r="E720" s="36">
        <f>E12*3.66</f>
        <v>270.84000000000003</v>
      </c>
      <c r="F720" s="36">
        <f t="shared" si="48"/>
        <v>257.298</v>
      </c>
      <c r="G720" s="26">
        <f t="shared" si="49"/>
        <v>243.75600000000003</v>
      </c>
      <c r="H720" s="26">
        <f t="shared" si="50"/>
        <v>230.21400000000003</v>
      </c>
    </row>
    <row r="721" spans="1:8" x14ac:dyDescent="0.2">
      <c r="A721" s="31">
        <f t="shared" ref="A721:A784" si="51">A720+1</f>
        <v>707</v>
      </c>
      <c r="B721" s="9"/>
      <c r="C721" s="32"/>
      <c r="D721" s="1" t="s">
        <v>434</v>
      </c>
      <c r="E721" s="36">
        <f>E12*5.08</f>
        <v>375.92</v>
      </c>
      <c r="F721" s="36">
        <f t="shared" si="48"/>
        <v>357.12400000000002</v>
      </c>
      <c r="G721" s="26">
        <f t="shared" si="49"/>
        <v>338.32800000000003</v>
      </c>
      <c r="H721" s="26">
        <f t="shared" si="50"/>
        <v>319.53200000000004</v>
      </c>
    </row>
    <row r="722" spans="1:8" x14ac:dyDescent="0.2">
      <c r="A722" s="31">
        <f t="shared" si="51"/>
        <v>708</v>
      </c>
      <c r="B722" s="9"/>
      <c r="C722" s="32"/>
      <c r="D722" s="1" t="s">
        <v>1116</v>
      </c>
      <c r="E722" s="36">
        <f>E12*5.13</f>
        <v>379.62</v>
      </c>
      <c r="F722" s="36">
        <f t="shared" si="48"/>
        <v>360.63900000000001</v>
      </c>
      <c r="G722" s="26">
        <f t="shared" si="49"/>
        <v>341.65800000000002</v>
      </c>
      <c r="H722" s="26">
        <f t="shared" si="50"/>
        <v>322.67700000000002</v>
      </c>
    </row>
    <row r="723" spans="1:8" x14ac:dyDescent="0.2">
      <c r="A723" s="31">
        <f t="shared" si="51"/>
        <v>709</v>
      </c>
      <c r="B723" s="9"/>
      <c r="C723" s="32"/>
      <c r="D723" s="1" t="s">
        <v>646</v>
      </c>
      <c r="E723" s="36">
        <f>E12*5.25</f>
        <v>388.5</v>
      </c>
      <c r="F723" s="36">
        <f t="shared" si="48"/>
        <v>369.07499999999999</v>
      </c>
      <c r="G723" s="26">
        <f t="shared" si="49"/>
        <v>349.65</v>
      </c>
      <c r="H723" s="26">
        <f t="shared" si="50"/>
        <v>330.22500000000002</v>
      </c>
    </row>
    <row r="724" spans="1:8" x14ac:dyDescent="0.2">
      <c r="A724" s="31">
        <f t="shared" si="51"/>
        <v>710</v>
      </c>
      <c r="B724" s="9"/>
      <c r="C724" s="32"/>
      <c r="D724" s="1" t="s">
        <v>537</v>
      </c>
      <c r="E724" s="36">
        <f>E12*4.9</f>
        <v>362.6</v>
      </c>
      <c r="F724" s="36">
        <f t="shared" si="48"/>
        <v>344.47</v>
      </c>
      <c r="G724" s="26">
        <f t="shared" si="49"/>
        <v>326.34000000000003</v>
      </c>
      <c r="H724" s="26">
        <f t="shared" si="50"/>
        <v>308.21000000000004</v>
      </c>
    </row>
    <row r="725" spans="1:8" x14ac:dyDescent="0.2">
      <c r="A725" s="31">
        <f t="shared" si="51"/>
        <v>711</v>
      </c>
      <c r="B725" s="9"/>
      <c r="C725" s="32"/>
      <c r="D725" s="1" t="s">
        <v>538</v>
      </c>
      <c r="E725" s="36">
        <f>E12*5.35</f>
        <v>395.9</v>
      </c>
      <c r="F725" s="36">
        <f t="shared" si="48"/>
        <v>376.10499999999996</v>
      </c>
      <c r="G725" s="26">
        <f t="shared" si="49"/>
        <v>356.30999999999995</v>
      </c>
      <c r="H725" s="26">
        <f t="shared" si="50"/>
        <v>336.51499999999999</v>
      </c>
    </row>
    <row r="726" spans="1:8" x14ac:dyDescent="0.2">
      <c r="A726" s="31">
        <f t="shared" si="51"/>
        <v>712</v>
      </c>
      <c r="B726" s="9"/>
      <c r="C726" s="32"/>
      <c r="D726" s="1" t="s">
        <v>753</v>
      </c>
      <c r="E726" s="36">
        <f>E12*4.3</f>
        <v>318.2</v>
      </c>
      <c r="F726" s="36">
        <f t="shared" si="48"/>
        <v>302.28999999999996</v>
      </c>
      <c r="G726" s="26">
        <f t="shared" si="49"/>
        <v>286.38</v>
      </c>
      <c r="H726" s="26">
        <f t="shared" si="50"/>
        <v>270.46999999999997</v>
      </c>
    </row>
    <row r="727" spans="1:8" x14ac:dyDescent="0.2">
      <c r="A727" s="31">
        <f t="shared" si="51"/>
        <v>713</v>
      </c>
      <c r="B727" s="9"/>
      <c r="C727" s="32"/>
      <c r="D727" s="1" t="s">
        <v>704</v>
      </c>
      <c r="E727" s="36">
        <f>E12*5.5</f>
        <v>407</v>
      </c>
      <c r="F727" s="36">
        <f t="shared" si="48"/>
        <v>386.65</v>
      </c>
      <c r="G727" s="26">
        <f t="shared" si="49"/>
        <v>366.3</v>
      </c>
      <c r="H727" s="26">
        <f t="shared" si="50"/>
        <v>345.95</v>
      </c>
    </row>
    <row r="728" spans="1:8" x14ac:dyDescent="0.2">
      <c r="A728" s="31">
        <f t="shared" si="51"/>
        <v>714</v>
      </c>
      <c r="B728" s="9"/>
      <c r="C728" s="32"/>
      <c r="D728" s="1" t="s">
        <v>754</v>
      </c>
      <c r="E728" s="36">
        <f>E12*5.08</f>
        <v>375.92</v>
      </c>
      <c r="F728" s="36">
        <f t="shared" si="48"/>
        <v>357.12400000000002</v>
      </c>
      <c r="G728" s="26">
        <f t="shared" si="49"/>
        <v>338.32800000000003</v>
      </c>
      <c r="H728" s="26">
        <f t="shared" si="50"/>
        <v>319.53200000000004</v>
      </c>
    </row>
    <row r="729" spans="1:8" x14ac:dyDescent="0.2">
      <c r="A729" s="31">
        <f t="shared" si="51"/>
        <v>715</v>
      </c>
      <c r="B729" s="9"/>
      <c r="C729" s="32"/>
      <c r="D729" s="1" t="s">
        <v>705</v>
      </c>
      <c r="E729" s="36">
        <f>E12*5.65</f>
        <v>418.1</v>
      </c>
      <c r="F729" s="36">
        <f t="shared" si="48"/>
        <v>397.19500000000005</v>
      </c>
      <c r="G729" s="26">
        <f t="shared" si="49"/>
        <v>376.29</v>
      </c>
      <c r="H729" s="26">
        <f t="shared" si="50"/>
        <v>355.38499999999999</v>
      </c>
    </row>
    <row r="730" spans="1:8" x14ac:dyDescent="0.2">
      <c r="A730" s="31">
        <f t="shared" si="51"/>
        <v>716</v>
      </c>
      <c r="B730" s="9"/>
      <c r="C730" s="32"/>
      <c r="D730" s="1" t="s">
        <v>706</v>
      </c>
      <c r="E730" s="36">
        <f>E12*5.18</f>
        <v>383.32</v>
      </c>
      <c r="F730" s="36">
        <f t="shared" si="48"/>
        <v>364.154</v>
      </c>
      <c r="G730" s="26">
        <f t="shared" si="49"/>
        <v>344.988</v>
      </c>
      <c r="H730" s="26">
        <f t="shared" si="50"/>
        <v>325.822</v>
      </c>
    </row>
    <row r="731" spans="1:8" x14ac:dyDescent="0.2">
      <c r="A731" s="31">
        <f t="shared" si="51"/>
        <v>717</v>
      </c>
      <c r="B731" s="9"/>
      <c r="C731" s="32"/>
      <c r="D731" s="1" t="s">
        <v>435</v>
      </c>
      <c r="E731" s="36">
        <f>E12*5.8</f>
        <v>429.2</v>
      </c>
      <c r="F731" s="36">
        <f t="shared" si="48"/>
        <v>407.74</v>
      </c>
      <c r="G731" s="26">
        <f t="shared" si="49"/>
        <v>386.28</v>
      </c>
      <c r="H731" s="26">
        <f t="shared" si="50"/>
        <v>364.82</v>
      </c>
    </row>
    <row r="732" spans="1:8" x14ac:dyDescent="0.2">
      <c r="A732" s="31">
        <f t="shared" si="51"/>
        <v>718</v>
      </c>
      <c r="B732" s="9"/>
      <c r="C732" s="32"/>
      <c r="D732" s="1" t="s">
        <v>539</v>
      </c>
      <c r="E732" s="36">
        <f>E12*5.91</f>
        <v>437.34000000000003</v>
      </c>
      <c r="F732" s="36">
        <f t="shared" si="48"/>
        <v>415.47300000000001</v>
      </c>
      <c r="G732" s="26">
        <f t="shared" si="49"/>
        <v>393.60599999999999</v>
      </c>
      <c r="H732" s="26">
        <f t="shared" si="50"/>
        <v>371.73900000000003</v>
      </c>
    </row>
    <row r="733" spans="1:8" x14ac:dyDescent="0.2">
      <c r="A733" s="31">
        <f t="shared" si="51"/>
        <v>719</v>
      </c>
      <c r="B733" s="9"/>
      <c r="C733" s="32"/>
      <c r="D733" s="1" t="s">
        <v>543</v>
      </c>
      <c r="E733" s="36">
        <f>E12*6.4</f>
        <v>473.6</v>
      </c>
      <c r="F733" s="36">
        <f t="shared" si="48"/>
        <v>449.92</v>
      </c>
      <c r="G733" s="26">
        <f t="shared" si="49"/>
        <v>426.24</v>
      </c>
      <c r="H733" s="26">
        <f t="shared" si="50"/>
        <v>402.56</v>
      </c>
    </row>
    <row r="734" spans="1:8" x14ac:dyDescent="0.2">
      <c r="A734" s="31">
        <f t="shared" si="51"/>
        <v>720</v>
      </c>
      <c r="B734" s="9"/>
      <c r="C734" s="32"/>
      <c r="D734" s="1" t="s">
        <v>1110</v>
      </c>
      <c r="E734" s="36">
        <f>E12*6.2</f>
        <v>458.8</v>
      </c>
      <c r="F734" s="36">
        <f t="shared" si="48"/>
        <v>435.86</v>
      </c>
      <c r="G734" s="26">
        <f t="shared" si="49"/>
        <v>412.92</v>
      </c>
      <c r="H734" s="26">
        <f t="shared" si="50"/>
        <v>389.98</v>
      </c>
    </row>
    <row r="735" spans="1:8" x14ac:dyDescent="0.2">
      <c r="A735" s="31">
        <f t="shared" si="51"/>
        <v>721</v>
      </c>
      <c r="B735" s="9"/>
      <c r="C735" s="32"/>
      <c r="D735" s="1" t="s">
        <v>707</v>
      </c>
      <c r="E735" s="36">
        <f>E12*4.58</f>
        <v>338.92</v>
      </c>
      <c r="F735" s="36">
        <f t="shared" si="48"/>
        <v>321.97399999999999</v>
      </c>
      <c r="G735" s="26">
        <f t="shared" si="49"/>
        <v>305.02800000000002</v>
      </c>
      <c r="H735" s="26">
        <f t="shared" si="50"/>
        <v>288.08199999999999</v>
      </c>
    </row>
    <row r="736" spans="1:8" x14ac:dyDescent="0.2">
      <c r="A736" s="31">
        <f t="shared" si="51"/>
        <v>722</v>
      </c>
      <c r="B736" s="9"/>
      <c r="C736" s="32"/>
      <c r="D736" s="1" t="s">
        <v>933</v>
      </c>
      <c r="E736" s="36">
        <f>E12*6.48</f>
        <v>479.52000000000004</v>
      </c>
      <c r="F736" s="36">
        <f t="shared" si="48"/>
        <v>455.54400000000004</v>
      </c>
      <c r="G736" s="26">
        <f t="shared" si="49"/>
        <v>431.56800000000004</v>
      </c>
      <c r="H736" s="26">
        <f t="shared" si="50"/>
        <v>407.59200000000004</v>
      </c>
    </row>
    <row r="737" spans="1:8" x14ac:dyDescent="0.2">
      <c r="A737" s="31">
        <f t="shared" si="51"/>
        <v>723</v>
      </c>
      <c r="B737" s="9"/>
      <c r="C737" s="32"/>
      <c r="D737" s="1" t="s">
        <v>934</v>
      </c>
      <c r="E737" s="36">
        <f>E12*6.63</f>
        <v>490.62</v>
      </c>
      <c r="F737" s="36">
        <f t="shared" si="48"/>
        <v>466.089</v>
      </c>
      <c r="G737" s="26">
        <f t="shared" si="49"/>
        <v>441.55799999999999</v>
      </c>
      <c r="H737" s="26">
        <f t="shared" si="50"/>
        <v>417.02699999999999</v>
      </c>
    </row>
    <row r="738" spans="1:8" x14ac:dyDescent="0.2">
      <c r="A738" s="31">
        <f t="shared" si="51"/>
        <v>724</v>
      </c>
      <c r="B738" s="9"/>
      <c r="C738" s="32"/>
      <c r="D738" s="1" t="s">
        <v>708</v>
      </c>
      <c r="E738" s="36">
        <f>E12*4.71</f>
        <v>348.54</v>
      </c>
      <c r="F738" s="36">
        <f t="shared" si="48"/>
        <v>331.113</v>
      </c>
      <c r="G738" s="26">
        <f t="shared" si="49"/>
        <v>313.68600000000004</v>
      </c>
      <c r="H738" s="26">
        <f t="shared" si="50"/>
        <v>296.25900000000001</v>
      </c>
    </row>
    <row r="739" spans="1:8" x14ac:dyDescent="0.2">
      <c r="A739" s="31">
        <f t="shared" si="51"/>
        <v>725</v>
      </c>
      <c r="B739" s="9"/>
      <c r="C739" s="32"/>
      <c r="D739" s="1" t="s">
        <v>709</v>
      </c>
      <c r="E739" s="36">
        <f>E12*4.54</f>
        <v>335.96</v>
      </c>
      <c r="F739" s="36">
        <f t="shared" si="48"/>
        <v>319.16199999999998</v>
      </c>
      <c r="G739" s="26">
        <f t="shared" si="49"/>
        <v>302.36399999999998</v>
      </c>
      <c r="H739" s="26">
        <f t="shared" si="50"/>
        <v>285.56599999999997</v>
      </c>
    </row>
    <row r="740" spans="1:8" x14ac:dyDescent="0.2">
      <c r="A740" s="31">
        <f t="shared" si="51"/>
        <v>726</v>
      </c>
      <c r="B740" s="9"/>
      <c r="C740" s="32"/>
      <c r="D740" s="1" t="s">
        <v>810</v>
      </c>
      <c r="E740" s="36">
        <f>E12*6.83</f>
        <v>505.42</v>
      </c>
      <c r="F740" s="36">
        <f t="shared" si="48"/>
        <v>480.149</v>
      </c>
      <c r="G740" s="26">
        <f t="shared" si="49"/>
        <v>454.87800000000004</v>
      </c>
      <c r="H740" s="26">
        <f t="shared" si="50"/>
        <v>429.60700000000003</v>
      </c>
    </row>
    <row r="741" spans="1:8" x14ac:dyDescent="0.2">
      <c r="A741" s="31">
        <f t="shared" si="51"/>
        <v>727</v>
      </c>
      <c r="B741" s="9"/>
      <c r="C741" s="32"/>
      <c r="D741" s="1" t="s">
        <v>677</v>
      </c>
      <c r="E741" s="36">
        <f>E12*6.91</f>
        <v>511.34000000000003</v>
      </c>
      <c r="F741" s="36">
        <f t="shared" si="48"/>
        <v>485.77300000000002</v>
      </c>
      <c r="G741" s="26">
        <f t="shared" si="49"/>
        <v>460.20600000000002</v>
      </c>
      <c r="H741" s="26">
        <f t="shared" si="50"/>
        <v>434.63900000000001</v>
      </c>
    </row>
    <row r="742" spans="1:8" x14ac:dyDescent="0.2">
      <c r="A742" s="31">
        <f t="shared" si="51"/>
        <v>728</v>
      </c>
      <c r="B742" s="9"/>
      <c r="C742" s="32"/>
      <c r="D742" s="1" t="s">
        <v>710</v>
      </c>
      <c r="E742" s="36">
        <f>E12*7.03</f>
        <v>520.22</v>
      </c>
      <c r="F742" s="36">
        <f t="shared" si="48"/>
        <v>494.209</v>
      </c>
      <c r="G742" s="26">
        <f t="shared" si="49"/>
        <v>468.19800000000004</v>
      </c>
      <c r="H742" s="26">
        <f t="shared" si="50"/>
        <v>442.18700000000001</v>
      </c>
    </row>
    <row r="743" spans="1:8" x14ac:dyDescent="0.2">
      <c r="A743" s="31">
        <f t="shared" si="51"/>
        <v>729</v>
      </c>
      <c r="B743" s="9"/>
      <c r="C743" s="32"/>
      <c r="D743" s="1" t="s">
        <v>540</v>
      </c>
      <c r="E743" s="36">
        <f>E12*7.18</f>
        <v>531.31999999999994</v>
      </c>
      <c r="F743" s="36">
        <f t="shared" si="48"/>
        <v>504.75399999999996</v>
      </c>
      <c r="G743" s="26">
        <f t="shared" si="49"/>
        <v>478.18799999999993</v>
      </c>
      <c r="H743" s="26">
        <f t="shared" si="50"/>
        <v>451.62199999999996</v>
      </c>
    </row>
    <row r="744" spans="1:8" x14ac:dyDescent="0.2">
      <c r="A744" s="31">
        <f t="shared" si="51"/>
        <v>730</v>
      </c>
      <c r="B744" s="9"/>
      <c r="C744" s="32"/>
      <c r="D744" s="1" t="s">
        <v>711</v>
      </c>
      <c r="E744" s="36">
        <f>E12*7.35</f>
        <v>543.9</v>
      </c>
      <c r="F744" s="36">
        <f t="shared" si="48"/>
        <v>516.70499999999993</v>
      </c>
      <c r="G744" s="26">
        <f t="shared" si="49"/>
        <v>489.51</v>
      </c>
      <c r="H744" s="26">
        <f t="shared" si="50"/>
        <v>462.315</v>
      </c>
    </row>
    <row r="745" spans="1:8" x14ac:dyDescent="0.2">
      <c r="A745" s="31">
        <f t="shared" si="51"/>
        <v>731</v>
      </c>
      <c r="B745" s="9"/>
      <c r="C745" s="32"/>
      <c r="D745" s="1" t="s">
        <v>918</v>
      </c>
      <c r="E745" s="36">
        <f>E12*8.11</f>
        <v>600.14</v>
      </c>
      <c r="F745" s="36">
        <f t="shared" si="48"/>
        <v>570.13300000000004</v>
      </c>
      <c r="G745" s="26">
        <f t="shared" si="49"/>
        <v>540.12599999999998</v>
      </c>
      <c r="H745" s="26">
        <f t="shared" si="50"/>
        <v>510.11899999999997</v>
      </c>
    </row>
    <row r="746" spans="1:8" x14ac:dyDescent="0.2">
      <c r="A746" s="31">
        <f t="shared" si="51"/>
        <v>732</v>
      </c>
      <c r="B746" s="9"/>
      <c r="C746" s="32"/>
      <c r="D746" s="1" t="s">
        <v>917</v>
      </c>
      <c r="E746" s="36">
        <f>E12*6.53</f>
        <v>483.22</v>
      </c>
      <c r="F746" s="36">
        <f t="shared" si="48"/>
        <v>459.05900000000003</v>
      </c>
      <c r="G746" s="26">
        <f t="shared" si="49"/>
        <v>434.89800000000002</v>
      </c>
      <c r="H746" s="26">
        <f t="shared" si="50"/>
        <v>410.73700000000002</v>
      </c>
    </row>
    <row r="747" spans="1:8" x14ac:dyDescent="0.2">
      <c r="A747" s="31">
        <f t="shared" si="51"/>
        <v>733</v>
      </c>
      <c r="B747" s="9"/>
      <c r="C747" s="32"/>
      <c r="D747" s="1" t="s">
        <v>712</v>
      </c>
      <c r="E747" s="36">
        <f>E12*3.35</f>
        <v>247.9</v>
      </c>
      <c r="F747" s="36">
        <f t="shared" si="48"/>
        <v>235.505</v>
      </c>
      <c r="G747" s="26">
        <f t="shared" si="49"/>
        <v>223.11</v>
      </c>
      <c r="H747" s="26">
        <f t="shared" si="50"/>
        <v>210.715</v>
      </c>
    </row>
    <row r="748" spans="1:8" x14ac:dyDescent="0.2">
      <c r="A748" s="31">
        <f t="shared" si="51"/>
        <v>734</v>
      </c>
      <c r="B748" s="9"/>
      <c r="C748" s="32"/>
      <c r="D748" s="1" t="s">
        <v>713</v>
      </c>
      <c r="E748" s="36">
        <f>E12*10.68</f>
        <v>790.31999999999994</v>
      </c>
      <c r="F748" s="36">
        <f t="shared" si="48"/>
        <v>750.80399999999997</v>
      </c>
      <c r="G748" s="26">
        <f t="shared" si="49"/>
        <v>711.2879999999999</v>
      </c>
      <c r="H748" s="26">
        <f t="shared" si="50"/>
        <v>671.77199999999993</v>
      </c>
    </row>
    <row r="749" spans="1:8" x14ac:dyDescent="0.2">
      <c r="A749" s="31">
        <f t="shared" si="51"/>
        <v>735</v>
      </c>
      <c r="B749" s="9"/>
      <c r="C749" s="32"/>
      <c r="D749" s="1" t="s">
        <v>714</v>
      </c>
      <c r="E749" s="36">
        <f>E12*3.83</f>
        <v>283.42</v>
      </c>
      <c r="F749" s="36">
        <f t="shared" si="48"/>
        <v>269.24900000000002</v>
      </c>
      <c r="G749" s="26">
        <f t="shared" si="49"/>
        <v>255.078</v>
      </c>
      <c r="H749" s="26">
        <f t="shared" si="50"/>
        <v>240.90700000000001</v>
      </c>
    </row>
    <row r="750" spans="1:8" s="29" customFormat="1" x14ac:dyDescent="0.2">
      <c r="A750" s="31">
        <f t="shared" si="51"/>
        <v>736</v>
      </c>
      <c r="B750" s="32"/>
      <c r="C750" s="32"/>
      <c r="D750" s="30" t="s">
        <v>1271</v>
      </c>
      <c r="E750" s="36">
        <v>3642</v>
      </c>
      <c r="F750" s="36">
        <f t="shared" ref="F750:F814" si="52">E750-E750*5%</f>
        <v>3459.9</v>
      </c>
      <c r="G750" s="26">
        <f t="shared" ref="G750:G814" si="53">E750-E750*10%</f>
        <v>3277.8</v>
      </c>
      <c r="H750" s="26">
        <f t="shared" ref="H750:H814" si="54">E750-E750*15%</f>
        <v>3095.7</v>
      </c>
    </row>
    <row r="751" spans="1:8" x14ac:dyDescent="0.2">
      <c r="A751" s="31">
        <f t="shared" si="51"/>
        <v>737</v>
      </c>
      <c r="B751" s="9" t="s">
        <v>716</v>
      </c>
      <c r="C751" s="32"/>
      <c r="D751" s="1" t="s">
        <v>205</v>
      </c>
      <c r="E751" s="36">
        <f>E12*24.57</f>
        <v>1818.18</v>
      </c>
      <c r="F751" s="36">
        <f t="shared" si="52"/>
        <v>1727.271</v>
      </c>
      <c r="G751" s="26">
        <f t="shared" si="53"/>
        <v>1636.3620000000001</v>
      </c>
      <c r="H751" s="26">
        <f t="shared" si="54"/>
        <v>1545.453</v>
      </c>
    </row>
    <row r="752" spans="1:8" x14ac:dyDescent="0.2">
      <c r="A752" s="31">
        <f t="shared" si="51"/>
        <v>738</v>
      </c>
      <c r="B752" s="9" t="s">
        <v>1255</v>
      </c>
      <c r="C752" s="32"/>
      <c r="D752" s="1" t="s">
        <v>1131</v>
      </c>
      <c r="E752" s="36">
        <f>E12*21.23</f>
        <v>1571.02</v>
      </c>
      <c r="F752" s="36">
        <f t="shared" si="52"/>
        <v>1492.4690000000001</v>
      </c>
      <c r="G752" s="26">
        <f t="shared" si="53"/>
        <v>1413.9179999999999</v>
      </c>
      <c r="H752" s="26">
        <f t="shared" si="54"/>
        <v>1335.367</v>
      </c>
    </row>
    <row r="753" spans="1:8" x14ac:dyDescent="0.2">
      <c r="A753" s="31">
        <f t="shared" si="51"/>
        <v>739</v>
      </c>
      <c r="B753" s="9" t="s">
        <v>1195</v>
      </c>
      <c r="C753" s="32">
        <v>4232000104</v>
      </c>
      <c r="D753" s="1" t="s">
        <v>1837</v>
      </c>
      <c r="E753" s="36">
        <f>E12*43.7</f>
        <v>3233.8</v>
      </c>
      <c r="F753" s="36">
        <f t="shared" si="52"/>
        <v>3072.11</v>
      </c>
      <c r="G753" s="26">
        <f t="shared" si="53"/>
        <v>2910.42</v>
      </c>
      <c r="H753" s="26">
        <f t="shared" si="54"/>
        <v>2748.73</v>
      </c>
    </row>
    <row r="754" spans="1:8" x14ac:dyDescent="0.2">
      <c r="A754" s="31">
        <f t="shared" si="51"/>
        <v>740</v>
      </c>
      <c r="B754" s="9" t="s">
        <v>919</v>
      </c>
      <c r="C754" s="32">
        <v>51065996033</v>
      </c>
      <c r="D754" s="1" t="s">
        <v>748</v>
      </c>
      <c r="E754" s="36">
        <f>E12*43.7</f>
        <v>3233.8</v>
      </c>
      <c r="F754" s="36">
        <f t="shared" si="52"/>
        <v>3072.11</v>
      </c>
      <c r="G754" s="26">
        <f t="shared" si="53"/>
        <v>2910.42</v>
      </c>
      <c r="H754" s="26">
        <f t="shared" si="54"/>
        <v>2748.73</v>
      </c>
    </row>
    <row r="755" spans="1:8" x14ac:dyDescent="0.2">
      <c r="A755" s="31">
        <f t="shared" si="51"/>
        <v>741</v>
      </c>
      <c r="B755" s="9" t="s">
        <v>1032</v>
      </c>
      <c r="C755" s="32">
        <v>4222010207</v>
      </c>
      <c r="D755" s="1" t="s">
        <v>1838</v>
      </c>
      <c r="E755" s="36">
        <f>E12*13.41</f>
        <v>992.34</v>
      </c>
      <c r="F755" s="36">
        <f t="shared" si="52"/>
        <v>942.72300000000007</v>
      </c>
      <c r="G755" s="26">
        <f t="shared" si="53"/>
        <v>893.10599999999999</v>
      </c>
      <c r="H755" s="26">
        <f t="shared" si="54"/>
        <v>843.48900000000003</v>
      </c>
    </row>
    <row r="756" spans="1:8" x14ac:dyDescent="0.2">
      <c r="A756" s="31">
        <f t="shared" si="51"/>
        <v>742</v>
      </c>
      <c r="B756" s="9" t="s">
        <v>1033</v>
      </c>
      <c r="C756" s="32">
        <v>4222010207</v>
      </c>
      <c r="D756" s="1" t="s">
        <v>1839</v>
      </c>
      <c r="E756" s="36">
        <f>E12*13.45</f>
        <v>995.3</v>
      </c>
      <c r="F756" s="36">
        <f t="shared" si="52"/>
        <v>945.53499999999997</v>
      </c>
      <c r="G756" s="26">
        <f t="shared" si="53"/>
        <v>895.77</v>
      </c>
      <c r="H756" s="26">
        <f t="shared" si="54"/>
        <v>846.005</v>
      </c>
    </row>
    <row r="757" spans="1:8" x14ac:dyDescent="0.2">
      <c r="A757" s="31">
        <f t="shared" si="51"/>
        <v>743</v>
      </c>
      <c r="B757" s="9" t="s">
        <v>1034</v>
      </c>
      <c r="C757" s="32">
        <v>4032021710</v>
      </c>
      <c r="D757" s="1" t="s">
        <v>1840</v>
      </c>
      <c r="E757" s="36">
        <f>E12*38.35</f>
        <v>2837.9</v>
      </c>
      <c r="F757" s="36">
        <f t="shared" si="52"/>
        <v>2696.0050000000001</v>
      </c>
      <c r="G757" s="26">
        <f t="shared" si="53"/>
        <v>2554.11</v>
      </c>
      <c r="H757" s="26">
        <f t="shared" si="54"/>
        <v>2412.2150000000001</v>
      </c>
    </row>
    <row r="758" spans="1:8" x14ac:dyDescent="0.2">
      <c r="A758" s="31">
        <f t="shared" si="51"/>
        <v>744</v>
      </c>
      <c r="B758" s="9" t="s">
        <v>1035</v>
      </c>
      <c r="C758" s="32">
        <v>4222000604</v>
      </c>
      <c r="D758" s="1" t="s">
        <v>1841</v>
      </c>
      <c r="E758" s="36">
        <f>E12*45.5</f>
        <v>3367</v>
      </c>
      <c r="F758" s="36">
        <f t="shared" si="52"/>
        <v>3198.65</v>
      </c>
      <c r="G758" s="26">
        <f t="shared" si="53"/>
        <v>3030.3</v>
      </c>
      <c r="H758" s="26">
        <f t="shared" si="54"/>
        <v>2861.95</v>
      </c>
    </row>
    <row r="759" spans="1:8" x14ac:dyDescent="0.2">
      <c r="A759" s="31">
        <f t="shared" si="51"/>
        <v>745</v>
      </c>
      <c r="B759" s="9" t="s">
        <v>949</v>
      </c>
      <c r="C759" s="32">
        <v>3074200339</v>
      </c>
      <c r="D759" s="1" t="s">
        <v>1842</v>
      </c>
      <c r="E759" s="36">
        <f>E12*19.11</f>
        <v>1414.1399999999999</v>
      </c>
      <c r="F759" s="36">
        <f t="shared" si="52"/>
        <v>1343.433</v>
      </c>
      <c r="G759" s="26">
        <f t="shared" si="53"/>
        <v>1272.7259999999999</v>
      </c>
      <c r="H759" s="26">
        <f t="shared" si="54"/>
        <v>1202.0189999999998</v>
      </c>
    </row>
    <row r="760" spans="1:8" x14ac:dyDescent="0.2">
      <c r="A760" s="31">
        <f t="shared" si="51"/>
        <v>746</v>
      </c>
      <c r="B760" s="9" t="s">
        <v>1211</v>
      </c>
      <c r="C760" s="32">
        <v>3534232310</v>
      </c>
      <c r="D760" s="1" t="s">
        <v>1843</v>
      </c>
      <c r="E760" s="36">
        <f>E12*22.41</f>
        <v>1658.34</v>
      </c>
      <c r="F760" s="36">
        <f t="shared" si="52"/>
        <v>1575.423</v>
      </c>
      <c r="G760" s="26">
        <f t="shared" si="53"/>
        <v>1492.5059999999999</v>
      </c>
      <c r="H760" s="26">
        <f t="shared" si="54"/>
        <v>1409.5889999999999</v>
      </c>
    </row>
    <row r="761" spans="1:8" x14ac:dyDescent="0.2">
      <c r="A761" s="31">
        <f t="shared" si="51"/>
        <v>747</v>
      </c>
      <c r="B761" s="9" t="s">
        <v>1002</v>
      </c>
      <c r="C761" s="32" t="s">
        <v>1845</v>
      </c>
      <c r="D761" s="1" t="s">
        <v>1844</v>
      </c>
      <c r="E761" s="36">
        <f>E12*8.21</f>
        <v>607.54000000000008</v>
      </c>
      <c r="F761" s="36">
        <f t="shared" si="52"/>
        <v>577.16300000000012</v>
      </c>
      <c r="G761" s="26">
        <f t="shared" si="53"/>
        <v>546.78600000000006</v>
      </c>
      <c r="H761" s="26">
        <f t="shared" si="54"/>
        <v>516.40900000000011</v>
      </c>
    </row>
    <row r="762" spans="1:8" x14ac:dyDescent="0.2">
      <c r="A762" s="31">
        <f t="shared" si="51"/>
        <v>748</v>
      </c>
      <c r="B762" s="9" t="s">
        <v>561</v>
      </c>
      <c r="C762" s="32">
        <v>4324100002</v>
      </c>
      <c r="D762" s="1" t="s">
        <v>1528</v>
      </c>
      <c r="E762" s="36">
        <f>E12*6</f>
        <v>444</v>
      </c>
      <c r="F762" s="36">
        <f t="shared" si="52"/>
        <v>421.8</v>
      </c>
      <c r="G762" s="26">
        <f t="shared" si="53"/>
        <v>399.6</v>
      </c>
      <c r="H762" s="26">
        <f t="shared" si="54"/>
        <v>377.4</v>
      </c>
    </row>
    <row r="763" spans="1:8" x14ac:dyDescent="0.2">
      <c r="A763" s="31">
        <f t="shared" si="51"/>
        <v>749</v>
      </c>
      <c r="B763" s="9" t="s">
        <v>876</v>
      </c>
      <c r="C763" s="32" t="s">
        <v>1847</v>
      </c>
      <c r="D763" s="1" t="s">
        <v>1846</v>
      </c>
      <c r="E763" s="36">
        <f>E12*14.68</f>
        <v>1086.32</v>
      </c>
      <c r="F763" s="36">
        <f t="shared" si="52"/>
        <v>1032.0039999999999</v>
      </c>
      <c r="G763" s="26">
        <f t="shared" si="53"/>
        <v>977.68799999999987</v>
      </c>
      <c r="H763" s="26">
        <f t="shared" si="54"/>
        <v>923.37199999999996</v>
      </c>
    </row>
    <row r="764" spans="1:8" x14ac:dyDescent="0.2">
      <c r="A764" s="31">
        <f t="shared" si="51"/>
        <v>750</v>
      </c>
      <c r="B764" s="9">
        <v>322205</v>
      </c>
      <c r="C764" s="32" t="s">
        <v>1529</v>
      </c>
      <c r="D764" s="1" t="s">
        <v>1528</v>
      </c>
      <c r="E764" s="36">
        <f>E12*5.76</f>
        <v>426.24</v>
      </c>
      <c r="F764" s="36">
        <f t="shared" si="52"/>
        <v>404.928</v>
      </c>
      <c r="G764" s="26">
        <f t="shared" si="53"/>
        <v>383.61599999999999</v>
      </c>
      <c r="H764" s="26">
        <f t="shared" si="54"/>
        <v>362.30400000000003</v>
      </c>
    </row>
    <row r="765" spans="1:8" s="29" customFormat="1" x14ac:dyDescent="0.2">
      <c r="A765" s="31">
        <f t="shared" si="51"/>
        <v>751</v>
      </c>
      <c r="B765" s="32" t="s">
        <v>1848</v>
      </c>
      <c r="C765" s="32"/>
      <c r="D765" s="30" t="s">
        <v>1533</v>
      </c>
      <c r="E765" s="36">
        <f>E12*22.75</f>
        <v>1683.5</v>
      </c>
      <c r="F765" s="36">
        <f t="shared" si="52"/>
        <v>1599.325</v>
      </c>
      <c r="G765" s="26">
        <f t="shared" si="53"/>
        <v>1515.15</v>
      </c>
      <c r="H765" s="26"/>
    </row>
    <row r="766" spans="1:8" x14ac:dyDescent="0.2">
      <c r="A766" s="31">
        <f t="shared" si="51"/>
        <v>752</v>
      </c>
      <c r="B766" s="9">
        <v>5122002</v>
      </c>
      <c r="C766" s="32" t="s">
        <v>1540</v>
      </c>
      <c r="D766" s="1" t="s">
        <v>1539</v>
      </c>
      <c r="E766" s="36">
        <f>E12*11.95</f>
        <v>884.3</v>
      </c>
      <c r="F766" s="36">
        <f t="shared" si="52"/>
        <v>840.08499999999992</v>
      </c>
      <c r="G766" s="26">
        <f t="shared" si="53"/>
        <v>795.86999999999989</v>
      </c>
      <c r="H766" s="26">
        <f t="shared" si="54"/>
        <v>751.65499999999997</v>
      </c>
    </row>
    <row r="767" spans="1:8" x14ac:dyDescent="0.2">
      <c r="A767" s="31">
        <f t="shared" si="51"/>
        <v>753</v>
      </c>
      <c r="B767" s="9" t="s">
        <v>967</v>
      </c>
      <c r="C767" s="32">
        <v>4720020092</v>
      </c>
      <c r="D767" s="1" t="s">
        <v>1849</v>
      </c>
      <c r="E767" s="36">
        <f>E12*14.75</f>
        <v>1091.5</v>
      </c>
      <c r="F767" s="36">
        <f t="shared" si="52"/>
        <v>1036.925</v>
      </c>
      <c r="G767" s="26">
        <f t="shared" si="53"/>
        <v>982.35</v>
      </c>
      <c r="H767" s="26">
        <f t="shared" si="54"/>
        <v>927.77499999999998</v>
      </c>
    </row>
    <row r="768" spans="1:8" x14ac:dyDescent="0.2">
      <c r="A768" s="31">
        <f t="shared" si="51"/>
        <v>754</v>
      </c>
      <c r="B768" s="9" t="s">
        <v>294</v>
      </c>
      <c r="C768" s="32" t="s">
        <v>1851</v>
      </c>
      <c r="D768" s="1" t="s">
        <v>1850</v>
      </c>
      <c r="E768" s="36">
        <f>E12*6.91</f>
        <v>511.34000000000003</v>
      </c>
      <c r="F768" s="36">
        <f t="shared" si="52"/>
        <v>485.77300000000002</v>
      </c>
      <c r="G768" s="26">
        <f t="shared" si="53"/>
        <v>460.20600000000002</v>
      </c>
      <c r="H768" s="26">
        <f t="shared" si="54"/>
        <v>434.63900000000001</v>
      </c>
    </row>
    <row r="769" spans="1:8" x14ac:dyDescent="0.2">
      <c r="A769" s="31">
        <f t="shared" si="51"/>
        <v>755</v>
      </c>
      <c r="B769" s="9" t="s">
        <v>1852</v>
      </c>
      <c r="C769" s="32">
        <v>9617220042</v>
      </c>
      <c r="D769" s="1" t="s">
        <v>1853</v>
      </c>
      <c r="E769" s="36">
        <f>E12*16.88</f>
        <v>1249.1199999999999</v>
      </c>
      <c r="F769" s="36">
        <f t="shared" si="52"/>
        <v>1186.664</v>
      </c>
      <c r="G769" s="26">
        <f t="shared" si="53"/>
        <v>1124.2079999999999</v>
      </c>
      <c r="H769" s="26">
        <f t="shared" si="54"/>
        <v>1061.752</v>
      </c>
    </row>
    <row r="770" spans="1:8" s="29" customFormat="1" x14ac:dyDescent="0.2">
      <c r="A770" s="31">
        <f t="shared" si="51"/>
        <v>756</v>
      </c>
      <c r="B770" s="32">
        <v>142420</v>
      </c>
      <c r="C770" s="32" t="s">
        <v>2447</v>
      </c>
      <c r="D770" s="30" t="s">
        <v>2448</v>
      </c>
      <c r="E770" s="36">
        <f>E12*87</f>
        <v>6438</v>
      </c>
      <c r="F770" s="36">
        <f t="shared" si="52"/>
        <v>6116.1</v>
      </c>
      <c r="G770" s="26">
        <f t="shared" si="53"/>
        <v>5794.2</v>
      </c>
      <c r="H770" s="26">
        <f t="shared" si="54"/>
        <v>5472.3</v>
      </c>
    </row>
    <row r="771" spans="1:8" x14ac:dyDescent="0.2">
      <c r="A771" s="31">
        <f t="shared" si="51"/>
        <v>757</v>
      </c>
      <c r="B771" s="9" t="s">
        <v>955</v>
      </c>
      <c r="C771" s="32" t="s">
        <v>1855</v>
      </c>
      <c r="D771" s="1" t="s">
        <v>1854</v>
      </c>
      <c r="E771" s="36">
        <f>E12*5.41</f>
        <v>400.34000000000003</v>
      </c>
      <c r="F771" s="36">
        <f t="shared" si="52"/>
        <v>380.32300000000004</v>
      </c>
      <c r="G771" s="26">
        <f t="shared" si="53"/>
        <v>360.30600000000004</v>
      </c>
      <c r="H771" s="26">
        <f t="shared" si="54"/>
        <v>340.28900000000004</v>
      </c>
    </row>
    <row r="772" spans="1:8" x14ac:dyDescent="0.2">
      <c r="A772" s="31">
        <f t="shared" si="51"/>
        <v>758</v>
      </c>
      <c r="B772" s="9" t="s">
        <v>247</v>
      </c>
      <c r="C772" s="32" t="s">
        <v>1857</v>
      </c>
      <c r="D772" s="1" t="s">
        <v>1856</v>
      </c>
      <c r="E772" s="36">
        <f>E12*19.58</f>
        <v>1448.9199999999998</v>
      </c>
      <c r="F772" s="36">
        <f t="shared" si="52"/>
        <v>1376.4739999999999</v>
      </c>
      <c r="G772" s="26">
        <f t="shared" si="53"/>
        <v>1304.0279999999998</v>
      </c>
      <c r="H772" s="26">
        <f t="shared" si="54"/>
        <v>1231.5819999999999</v>
      </c>
    </row>
    <row r="773" spans="1:8" x14ac:dyDescent="0.2">
      <c r="A773" s="31">
        <f t="shared" si="51"/>
        <v>759</v>
      </c>
      <c r="B773" s="9" t="s">
        <v>513</v>
      </c>
      <c r="C773" s="32" t="s">
        <v>1859</v>
      </c>
      <c r="D773" s="1" t="s">
        <v>1858</v>
      </c>
      <c r="E773" s="36">
        <f>E12*25.3</f>
        <v>1872.2</v>
      </c>
      <c r="F773" s="36">
        <f t="shared" si="52"/>
        <v>1778.5900000000001</v>
      </c>
      <c r="G773" s="26">
        <f t="shared" si="53"/>
        <v>1684.98</v>
      </c>
      <c r="H773" s="26">
        <f t="shared" si="54"/>
        <v>1591.3700000000001</v>
      </c>
    </row>
    <row r="774" spans="1:8" x14ac:dyDescent="0.2">
      <c r="A774" s="31">
        <f t="shared" si="51"/>
        <v>760</v>
      </c>
      <c r="B774" s="9" t="s">
        <v>514</v>
      </c>
      <c r="C774" s="32">
        <v>9700519062</v>
      </c>
      <c r="D774" s="1" t="s">
        <v>1860</v>
      </c>
      <c r="E774" s="38">
        <f>E12*9.78</f>
        <v>723.71999999999991</v>
      </c>
      <c r="F774" s="36">
        <f t="shared" si="52"/>
        <v>687.53399999999988</v>
      </c>
      <c r="G774" s="26">
        <f t="shared" si="53"/>
        <v>651.34799999999996</v>
      </c>
      <c r="H774" s="26">
        <f t="shared" si="54"/>
        <v>615.16199999999992</v>
      </c>
    </row>
    <row r="775" spans="1:8" x14ac:dyDescent="0.2">
      <c r="A775" s="31">
        <f t="shared" si="51"/>
        <v>761</v>
      </c>
      <c r="B775" s="9" t="s">
        <v>596</v>
      </c>
      <c r="C775" s="32">
        <v>9700510022</v>
      </c>
      <c r="D775" s="1" t="s">
        <v>1861</v>
      </c>
      <c r="E775" s="36">
        <f>E12*8.65</f>
        <v>640.1</v>
      </c>
      <c r="F775" s="36">
        <f t="shared" si="52"/>
        <v>608.09500000000003</v>
      </c>
      <c r="G775" s="26">
        <f t="shared" si="53"/>
        <v>576.09</v>
      </c>
      <c r="H775" s="26">
        <f t="shared" si="54"/>
        <v>544.08500000000004</v>
      </c>
    </row>
    <row r="776" spans="1:8" x14ac:dyDescent="0.2">
      <c r="A776" s="31">
        <f t="shared" si="51"/>
        <v>762</v>
      </c>
      <c r="B776" s="9" t="s">
        <v>523</v>
      </c>
      <c r="C776" s="32">
        <v>910012015</v>
      </c>
      <c r="D776" s="1" t="s">
        <v>1862</v>
      </c>
      <c r="E776" s="36">
        <f>E12*14.08</f>
        <v>1041.92</v>
      </c>
      <c r="F776" s="36">
        <f t="shared" si="52"/>
        <v>989.82400000000007</v>
      </c>
      <c r="G776" s="26">
        <f t="shared" si="53"/>
        <v>937.72800000000007</v>
      </c>
      <c r="H776" s="26">
        <f t="shared" si="54"/>
        <v>885.63200000000006</v>
      </c>
    </row>
    <row r="777" spans="1:8" x14ac:dyDescent="0.2">
      <c r="A777" s="31">
        <f t="shared" si="51"/>
        <v>763</v>
      </c>
      <c r="B777" s="9" t="s">
        <v>524</v>
      </c>
      <c r="C777" s="32" t="s">
        <v>1864</v>
      </c>
      <c r="D777" s="1" t="s">
        <v>1863</v>
      </c>
      <c r="E777" s="36">
        <f>E12*14.08</f>
        <v>1041.92</v>
      </c>
      <c r="F777" s="36">
        <f t="shared" si="52"/>
        <v>989.82400000000007</v>
      </c>
      <c r="G777" s="26">
        <f t="shared" si="53"/>
        <v>937.72800000000007</v>
      </c>
      <c r="H777" s="26">
        <f t="shared" si="54"/>
        <v>885.63200000000006</v>
      </c>
    </row>
    <row r="778" spans="1:8" x14ac:dyDescent="0.2">
      <c r="A778" s="31">
        <f t="shared" si="51"/>
        <v>764</v>
      </c>
      <c r="B778" s="9" t="s">
        <v>526</v>
      </c>
      <c r="C778" s="32">
        <v>910005015</v>
      </c>
      <c r="D778" s="1" t="s">
        <v>1865</v>
      </c>
      <c r="E778" s="36">
        <f>E12*11.56</f>
        <v>855.44</v>
      </c>
      <c r="F778" s="36">
        <f t="shared" si="52"/>
        <v>812.66800000000001</v>
      </c>
      <c r="G778" s="26">
        <f t="shared" si="53"/>
        <v>769.89600000000007</v>
      </c>
      <c r="H778" s="26">
        <f t="shared" si="54"/>
        <v>727.12400000000002</v>
      </c>
    </row>
    <row r="779" spans="1:8" x14ac:dyDescent="0.2">
      <c r="A779" s="31">
        <f t="shared" si="51"/>
        <v>765</v>
      </c>
      <c r="B779" s="9" t="s">
        <v>527</v>
      </c>
      <c r="C779" s="32">
        <v>81307256080</v>
      </c>
      <c r="D779" s="1" t="s">
        <v>1866</v>
      </c>
      <c r="E779" s="36">
        <f>E12*13.85</f>
        <v>1024.8999999999999</v>
      </c>
      <c r="F779" s="36">
        <f t="shared" si="52"/>
        <v>973.65499999999986</v>
      </c>
      <c r="G779" s="26">
        <f t="shared" si="53"/>
        <v>922.40999999999985</v>
      </c>
      <c r="H779" s="26">
        <f t="shared" si="54"/>
        <v>871.16499999999985</v>
      </c>
    </row>
    <row r="780" spans="1:8" x14ac:dyDescent="0.2">
      <c r="A780" s="31">
        <f t="shared" si="51"/>
        <v>766</v>
      </c>
      <c r="B780" s="9" t="s">
        <v>528</v>
      </c>
      <c r="C780" s="32">
        <v>3093100</v>
      </c>
      <c r="D780" s="1" t="s">
        <v>1867</v>
      </c>
      <c r="E780" s="36">
        <f>E12*11.73</f>
        <v>868.02</v>
      </c>
      <c r="F780" s="36">
        <f t="shared" si="52"/>
        <v>824.61900000000003</v>
      </c>
      <c r="G780" s="26">
        <f t="shared" si="53"/>
        <v>781.21799999999996</v>
      </c>
      <c r="H780" s="26">
        <f t="shared" si="54"/>
        <v>737.81700000000001</v>
      </c>
    </row>
    <row r="781" spans="1:8" x14ac:dyDescent="0.2">
      <c r="A781" s="31">
        <f t="shared" si="51"/>
        <v>767</v>
      </c>
      <c r="B781" s="9" t="s">
        <v>529</v>
      </c>
      <c r="C781" s="32">
        <v>81307256042</v>
      </c>
      <c r="D781" s="1" t="s">
        <v>1868</v>
      </c>
      <c r="E781" s="36">
        <f>E12*14.28</f>
        <v>1056.72</v>
      </c>
      <c r="F781" s="36">
        <f t="shared" si="52"/>
        <v>1003.884</v>
      </c>
      <c r="G781" s="26">
        <f t="shared" si="53"/>
        <v>951.048</v>
      </c>
      <c r="H781" s="26">
        <f t="shared" si="54"/>
        <v>898.21199999999999</v>
      </c>
    </row>
    <row r="782" spans="1:8" x14ac:dyDescent="0.2">
      <c r="A782" s="31">
        <f t="shared" si="51"/>
        <v>768</v>
      </c>
      <c r="B782" s="9" t="s">
        <v>1279</v>
      </c>
      <c r="C782" s="32">
        <v>4021300020</v>
      </c>
      <c r="D782" s="1" t="s">
        <v>1869</v>
      </c>
      <c r="E782" s="36">
        <f>E12*5.2</f>
        <v>384.8</v>
      </c>
      <c r="F782" s="36">
        <f t="shared" si="52"/>
        <v>365.56</v>
      </c>
      <c r="G782" s="26">
        <f t="shared" si="53"/>
        <v>346.32</v>
      </c>
      <c r="H782" s="26">
        <f t="shared" si="54"/>
        <v>327.08000000000004</v>
      </c>
    </row>
    <row r="783" spans="1:8" x14ac:dyDescent="0.2">
      <c r="A783" s="31">
        <f t="shared" si="51"/>
        <v>769</v>
      </c>
      <c r="B783" s="9" t="s">
        <v>461</v>
      </c>
      <c r="C783" s="32">
        <v>302821</v>
      </c>
      <c r="D783" s="1" t="s">
        <v>120</v>
      </c>
      <c r="E783" s="36">
        <f>E12*7.34</f>
        <v>543.16</v>
      </c>
      <c r="F783" s="36">
        <f t="shared" si="52"/>
        <v>516.00199999999995</v>
      </c>
      <c r="G783" s="26">
        <f t="shared" si="53"/>
        <v>488.84399999999994</v>
      </c>
      <c r="H783" s="26">
        <f t="shared" si="54"/>
        <v>461.68599999999998</v>
      </c>
    </row>
    <row r="784" spans="1:8" x14ac:dyDescent="0.2">
      <c r="A784" s="31">
        <f t="shared" si="51"/>
        <v>770</v>
      </c>
      <c r="B784" s="9" t="s">
        <v>877</v>
      </c>
      <c r="C784" s="32">
        <v>4421301120</v>
      </c>
      <c r="D784" s="1" t="s">
        <v>1870</v>
      </c>
      <c r="E784" s="36">
        <f>E12*13.3</f>
        <v>984.2</v>
      </c>
      <c r="F784" s="36">
        <f t="shared" si="52"/>
        <v>934.99</v>
      </c>
      <c r="G784" s="26">
        <f t="shared" si="53"/>
        <v>885.78</v>
      </c>
      <c r="H784" s="26">
        <f t="shared" si="54"/>
        <v>836.57</v>
      </c>
    </row>
    <row r="785" spans="1:8" x14ac:dyDescent="0.2">
      <c r="A785" s="31">
        <f t="shared" ref="A785:A848" si="55">A784+1</f>
        <v>771</v>
      </c>
      <c r="B785" s="9" t="s">
        <v>664</v>
      </c>
      <c r="C785" s="32" t="s">
        <v>1872</v>
      </c>
      <c r="D785" s="1" t="s">
        <v>1871</v>
      </c>
      <c r="E785" s="36">
        <f>E12*19.65</f>
        <v>1454.1</v>
      </c>
      <c r="F785" s="36">
        <f t="shared" si="52"/>
        <v>1381.395</v>
      </c>
      <c r="G785" s="26">
        <f t="shared" si="53"/>
        <v>1308.6899999999998</v>
      </c>
      <c r="H785" s="26">
        <f t="shared" si="54"/>
        <v>1235.9849999999999</v>
      </c>
    </row>
    <row r="786" spans="1:8" x14ac:dyDescent="0.2">
      <c r="A786" s="31">
        <f t="shared" si="55"/>
        <v>772</v>
      </c>
      <c r="B786" s="9" t="s">
        <v>743</v>
      </c>
      <c r="C786" s="32">
        <v>3097143</v>
      </c>
      <c r="D786" s="1" t="s">
        <v>1873</v>
      </c>
      <c r="E786" s="36">
        <f>E12*45.5</f>
        <v>3367</v>
      </c>
      <c r="F786" s="36">
        <f t="shared" si="52"/>
        <v>3198.65</v>
      </c>
      <c r="G786" s="26">
        <f t="shared" si="53"/>
        <v>3030.3</v>
      </c>
      <c r="H786" s="26">
        <f t="shared" si="54"/>
        <v>2861.95</v>
      </c>
    </row>
    <row r="787" spans="1:8" x14ac:dyDescent="0.2">
      <c r="A787" s="31">
        <f t="shared" si="55"/>
        <v>773</v>
      </c>
      <c r="B787" s="9" t="s">
        <v>767</v>
      </c>
      <c r="C787" s="32">
        <v>3090471</v>
      </c>
      <c r="D787" s="1" t="s">
        <v>1874</v>
      </c>
      <c r="E787" s="36">
        <f>E12*20.55</f>
        <v>1520.7</v>
      </c>
      <c r="F787" s="36">
        <f t="shared" si="52"/>
        <v>1444.665</v>
      </c>
      <c r="G787" s="26">
        <f t="shared" si="53"/>
        <v>1368.63</v>
      </c>
      <c r="H787" s="26">
        <f t="shared" si="54"/>
        <v>1292.595</v>
      </c>
    </row>
    <row r="788" spans="1:8" x14ac:dyDescent="0.2">
      <c r="A788" s="31">
        <f t="shared" si="55"/>
        <v>774</v>
      </c>
      <c r="B788" s="9" t="s">
        <v>744</v>
      </c>
      <c r="C788" s="32">
        <v>1310523</v>
      </c>
      <c r="D788" s="1" t="s">
        <v>1875</v>
      </c>
      <c r="E788" s="36">
        <f>E12*39.85</f>
        <v>2948.9</v>
      </c>
      <c r="F788" s="36">
        <f t="shared" si="52"/>
        <v>2801.4549999999999</v>
      </c>
      <c r="G788" s="26">
        <f t="shared" si="53"/>
        <v>2654.01</v>
      </c>
      <c r="H788" s="26">
        <f t="shared" si="54"/>
        <v>2506.5650000000001</v>
      </c>
    </row>
    <row r="789" spans="1:8" x14ac:dyDescent="0.2">
      <c r="A789" s="31">
        <f t="shared" si="55"/>
        <v>775</v>
      </c>
      <c r="B789" s="9" t="s">
        <v>1877</v>
      </c>
      <c r="C789" s="32">
        <v>9753030012</v>
      </c>
      <c r="D789" s="1" t="s">
        <v>1876</v>
      </c>
      <c r="E789" s="36">
        <f>E12*10.15</f>
        <v>751.1</v>
      </c>
      <c r="F789" s="36">
        <f t="shared" si="52"/>
        <v>713.54500000000007</v>
      </c>
      <c r="G789" s="26">
        <f t="shared" si="53"/>
        <v>675.99</v>
      </c>
      <c r="H789" s="26">
        <f t="shared" si="54"/>
        <v>638.43500000000006</v>
      </c>
    </row>
    <row r="790" spans="1:8" x14ac:dyDescent="0.2">
      <c r="A790" s="31">
        <f t="shared" si="55"/>
        <v>776</v>
      </c>
      <c r="B790" s="9" t="s">
        <v>663</v>
      </c>
      <c r="C790" s="32">
        <v>1987010000</v>
      </c>
      <c r="D790" s="1" t="s">
        <v>1878</v>
      </c>
      <c r="E790" s="36">
        <f>E12*15.85</f>
        <v>1172.8999999999999</v>
      </c>
      <c r="F790" s="36">
        <f t="shared" si="52"/>
        <v>1114.2549999999999</v>
      </c>
      <c r="G790" s="26">
        <f t="shared" si="53"/>
        <v>1055.6099999999999</v>
      </c>
      <c r="H790" s="26">
        <f t="shared" si="54"/>
        <v>996.96499999999992</v>
      </c>
    </row>
    <row r="791" spans="1:8" x14ac:dyDescent="0.2">
      <c r="A791" s="31">
        <f t="shared" si="55"/>
        <v>777</v>
      </c>
      <c r="B791" s="9" t="s">
        <v>1138</v>
      </c>
      <c r="C791" s="32" t="s">
        <v>1556</v>
      </c>
      <c r="D791" s="1" t="s">
        <v>1557</v>
      </c>
      <c r="E791" s="36">
        <f>E12*9.9</f>
        <v>732.6</v>
      </c>
      <c r="F791" s="36">
        <f t="shared" si="52"/>
        <v>695.97</v>
      </c>
      <c r="G791" s="26">
        <f t="shared" si="53"/>
        <v>659.34</v>
      </c>
      <c r="H791" s="26">
        <f t="shared" si="54"/>
        <v>622.71</v>
      </c>
    </row>
    <row r="792" spans="1:8" x14ac:dyDescent="0.2">
      <c r="A792" s="31">
        <f t="shared" si="55"/>
        <v>778</v>
      </c>
      <c r="B792" s="9" t="s">
        <v>1139</v>
      </c>
      <c r="C792" s="32" t="s">
        <v>1554</v>
      </c>
      <c r="D792" s="1" t="s">
        <v>1555</v>
      </c>
      <c r="E792" s="36">
        <f>E12*9.9</f>
        <v>732.6</v>
      </c>
      <c r="F792" s="36">
        <f t="shared" si="52"/>
        <v>695.97</v>
      </c>
      <c r="G792" s="26">
        <f t="shared" si="53"/>
        <v>659.34</v>
      </c>
      <c r="H792" s="26">
        <f t="shared" si="54"/>
        <v>622.71</v>
      </c>
    </row>
    <row r="793" spans="1:8" x14ac:dyDescent="0.2">
      <c r="A793" s="31">
        <f t="shared" si="55"/>
        <v>779</v>
      </c>
      <c r="B793" s="9" t="s">
        <v>1575</v>
      </c>
      <c r="C793" s="32"/>
      <c r="D793" s="1" t="s">
        <v>1574</v>
      </c>
      <c r="E793" s="36">
        <f>E12*20.28</f>
        <v>1500.72</v>
      </c>
      <c r="F793" s="36">
        <f t="shared" si="52"/>
        <v>1425.684</v>
      </c>
      <c r="G793" s="26">
        <f t="shared" si="53"/>
        <v>1350.6480000000001</v>
      </c>
      <c r="H793" s="26">
        <f t="shared" si="54"/>
        <v>1275.6120000000001</v>
      </c>
    </row>
    <row r="794" spans="1:8" x14ac:dyDescent="0.2">
      <c r="A794" s="31">
        <f t="shared" si="55"/>
        <v>780</v>
      </c>
      <c r="B794" s="9" t="s">
        <v>1565</v>
      </c>
      <c r="C794" s="32"/>
      <c r="D794" s="1" t="s">
        <v>1566</v>
      </c>
      <c r="E794" s="36">
        <f>E12*6.23</f>
        <v>461.02000000000004</v>
      </c>
      <c r="F794" s="36">
        <f t="shared" si="52"/>
        <v>437.96900000000005</v>
      </c>
      <c r="G794" s="26">
        <f t="shared" si="53"/>
        <v>414.91800000000001</v>
      </c>
      <c r="H794" s="26">
        <f t="shared" si="54"/>
        <v>391.86700000000002</v>
      </c>
    </row>
    <row r="795" spans="1:8" s="29" customFormat="1" x14ac:dyDescent="0.2">
      <c r="A795" s="31">
        <f t="shared" si="55"/>
        <v>781</v>
      </c>
      <c r="B795" s="32" t="s">
        <v>1568</v>
      </c>
      <c r="C795" s="32"/>
      <c r="D795" s="30" t="s">
        <v>1567</v>
      </c>
      <c r="E795" s="36">
        <f>E12*3.95</f>
        <v>292.3</v>
      </c>
      <c r="F795" s="36">
        <f t="shared" si="52"/>
        <v>277.685</v>
      </c>
      <c r="G795" s="26">
        <f t="shared" si="53"/>
        <v>263.07</v>
      </c>
      <c r="H795" s="26">
        <f t="shared" si="54"/>
        <v>248.45500000000001</v>
      </c>
    </row>
    <row r="796" spans="1:8" s="29" customFormat="1" x14ac:dyDescent="0.2">
      <c r="A796" s="31">
        <f t="shared" si="55"/>
        <v>782</v>
      </c>
      <c r="B796" s="32" t="s">
        <v>1579</v>
      </c>
      <c r="C796" s="32"/>
      <c r="D796" s="30" t="s">
        <v>1578</v>
      </c>
      <c r="E796" s="36">
        <f>E12*20.5</f>
        <v>1517</v>
      </c>
      <c r="F796" s="36">
        <f t="shared" si="52"/>
        <v>1441.15</v>
      </c>
      <c r="G796" s="26">
        <f t="shared" si="53"/>
        <v>1365.3</v>
      </c>
      <c r="H796" s="26">
        <f t="shared" si="54"/>
        <v>1289.45</v>
      </c>
    </row>
    <row r="797" spans="1:8" s="29" customFormat="1" x14ac:dyDescent="0.2">
      <c r="A797" s="31">
        <f t="shared" si="55"/>
        <v>783</v>
      </c>
      <c r="B797" s="32" t="s">
        <v>1570</v>
      </c>
      <c r="C797" s="32"/>
      <c r="D797" s="30" t="s">
        <v>1569</v>
      </c>
      <c r="E797" s="36">
        <f>E12*9.02</f>
        <v>667.48</v>
      </c>
      <c r="F797" s="36">
        <f t="shared" si="52"/>
        <v>634.10599999999999</v>
      </c>
      <c r="G797" s="26">
        <f t="shared" si="53"/>
        <v>600.73199999999997</v>
      </c>
      <c r="H797" s="26">
        <f t="shared" si="54"/>
        <v>567.35800000000006</v>
      </c>
    </row>
    <row r="798" spans="1:8" s="29" customFormat="1" x14ac:dyDescent="0.2">
      <c r="A798" s="31">
        <f t="shared" si="55"/>
        <v>784</v>
      </c>
      <c r="B798" s="32" t="s">
        <v>1135</v>
      </c>
      <c r="C798" s="32"/>
      <c r="D798" s="30" t="s">
        <v>1571</v>
      </c>
      <c r="E798" s="36">
        <f>E12*9.11</f>
        <v>674.14</v>
      </c>
      <c r="F798" s="36">
        <f t="shared" si="52"/>
        <v>640.43299999999999</v>
      </c>
      <c r="G798" s="26">
        <f t="shared" si="53"/>
        <v>606.726</v>
      </c>
      <c r="H798" s="26">
        <f t="shared" si="54"/>
        <v>573.01900000000001</v>
      </c>
    </row>
    <row r="799" spans="1:8" s="29" customFormat="1" x14ac:dyDescent="0.2">
      <c r="A799" s="31">
        <f t="shared" si="55"/>
        <v>785</v>
      </c>
      <c r="B799" s="32" t="s">
        <v>1141</v>
      </c>
      <c r="C799" s="32">
        <v>81508026022</v>
      </c>
      <c r="D799" s="30" t="s">
        <v>1580</v>
      </c>
      <c r="E799" s="36">
        <f>E12*39.6</f>
        <v>2930.4</v>
      </c>
      <c r="F799" s="36">
        <f t="shared" si="52"/>
        <v>2783.88</v>
      </c>
      <c r="G799" s="26">
        <f t="shared" si="53"/>
        <v>2637.36</v>
      </c>
      <c r="H799" s="26">
        <f t="shared" si="54"/>
        <v>2490.84</v>
      </c>
    </row>
    <row r="800" spans="1:8" s="29" customFormat="1" x14ac:dyDescent="0.2">
      <c r="A800" s="31">
        <f t="shared" si="55"/>
        <v>786</v>
      </c>
      <c r="B800" s="32" t="s">
        <v>1582</v>
      </c>
      <c r="C800" s="32"/>
      <c r="D800" s="30" t="s">
        <v>1581</v>
      </c>
      <c r="E800" s="36">
        <f>E12*215</f>
        <v>15910</v>
      </c>
      <c r="F800" s="36">
        <f t="shared" si="52"/>
        <v>15114.5</v>
      </c>
      <c r="G800" s="26">
        <f t="shared" si="53"/>
        <v>14319</v>
      </c>
      <c r="H800" s="26">
        <f t="shared" si="54"/>
        <v>13523.5</v>
      </c>
    </row>
    <row r="801" spans="1:8" s="29" customFormat="1" x14ac:dyDescent="0.2">
      <c r="A801" s="31">
        <f t="shared" si="55"/>
        <v>787</v>
      </c>
      <c r="B801" s="32" t="s">
        <v>1583</v>
      </c>
      <c r="C801" s="32"/>
      <c r="D801" s="30" t="s">
        <v>1586</v>
      </c>
      <c r="E801" s="36">
        <f>E12*215</f>
        <v>15910</v>
      </c>
      <c r="F801" s="36">
        <f t="shared" si="52"/>
        <v>15114.5</v>
      </c>
      <c r="G801" s="26">
        <f t="shared" si="53"/>
        <v>14319</v>
      </c>
      <c r="H801" s="26">
        <f t="shared" si="54"/>
        <v>13523.5</v>
      </c>
    </row>
    <row r="802" spans="1:8" s="29" customFormat="1" x14ac:dyDescent="0.2">
      <c r="A802" s="31">
        <f t="shared" si="55"/>
        <v>788</v>
      </c>
      <c r="B802" s="32" t="s">
        <v>1584</v>
      </c>
      <c r="C802" s="32"/>
      <c r="D802" s="30" t="s">
        <v>1587</v>
      </c>
      <c r="E802" s="36">
        <f>E12*215</f>
        <v>15910</v>
      </c>
      <c r="F802" s="36">
        <f t="shared" si="52"/>
        <v>15114.5</v>
      </c>
      <c r="G802" s="26">
        <f t="shared" si="53"/>
        <v>14319</v>
      </c>
      <c r="H802" s="26">
        <f t="shared" si="54"/>
        <v>13523.5</v>
      </c>
    </row>
    <row r="803" spans="1:8" s="29" customFormat="1" x14ac:dyDescent="0.2">
      <c r="A803" s="31">
        <f t="shared" si="55"/>
        <v>789</v>
      </c>
      <c r="B803" s="32" t="s">
        <v>1585</v>
      </c>
      <c r="C803" s="32"/>
      <c r="D803" s="30" t="s">
        <v>1588</v>
      </c>
      <c r="E803" s="36">
        <f>E12*215</f>
        <v>15910</v>
      </c>
      <c r="F803" s="36">
        <f t="shared" si="52"/>
        <v>15114.5</v>
      </c>
      <c r="G803" s="26">
        <f t="shared" si="53"/>
        <v>14319</v>
      </c>
      <c r="H803" s="26">
        <f t="shared" si="54"/>
        <v>13523.5</v>
      </c>
    </row>
    <row r="804" spans="1:8" x14ac:dyDescent="0.2">
      <c r="A804" s="31">
        <f t="shared" si="55"/>
        <v>790</v>
      </c>
      <c r="B804" s="9" t="s">
        <v>373</v>
      </c>
      <c r="C804" s="32"/>
      <c r="D804" s="1" t="s">
        <v>1879</v>
      </c>
      <c r="E804" s="36">
        <f>E12*34.75</f>
        <v>2571.5</v>
      </c>
      <c r="F804" s="36">
        <f t="shared" si="52"/>
        <v>2442.9250000000002</v>
      </c>
      <c r="G804" s="26">
        <f t="shared" si="53"/>
        <v>2314.35</v>
      </c>
      <c r="H804" s="26">
        <f t="shared" si="54"/>
        <v>2185.7750000000001</v>
      </c>
    </row>
    <row r="805" spans="1:8" x14ac:dyDescent="0.2">
      <c r="A805" s="31">
        <f t="shared" si="55"/>
        <v>791</v>
      </c>
      <c r="B805" s="9" t="s">
        <v>1572</v>
      </c>
      <c r="C805" s="32"/>
      <c r="D805" s="1" t="s">
        <v>1573</v>
      </c>
      <c r="E805" s="36">
        <f>E12*8.84</f>
        <v>654.16</v>
      </c>
      <c r="F805" s="36">
        <f t="shared" si="52"/>
        <v>621.452</v>
      </c>
      <c r="G805" s="26">
        <f t="shared" si="53"/>
        <v>588.74399999999991</v>
      </c>
      <c r="H805" s="26">
        <f t="shared" si="54"/>
        <v>556.03599999999994</v>
      </c>
    </row>
    <row r="806" spans="1:8" s="29" customFormat="1" x14ac:dyDescent="0.2">
      <c r="A806" s="31">
        <f t="shared" si="55"/>
        <v>792</v>
      </c>
      <c r="B806" s="32" t="s">
        <v>1577</v>
      </c>
      <c r="C806" s="32"/>
      <c r="D806" s="30" t="s">
        <v>1576</v>
      </c>
      <c r="E806" s="36">
        <f>E12*8</f>
        <v>592</v>
      </c>
      <c r="F806" s="36">
        <f t="shared" si="52"/>
        <v>562.4</v>
      </c>
      <c r="G806" s="26">
        <f t="shared" si="53"/>
        <v>532.79999999999995</v>
      </c>
      <c r="H806" s="26">
        <f t="shared" si="54"/>
        <v>503.2</v>
      </c>
    </row>
    <row r="807" spans="1:8" x14ac:dyDescent="0.2">
      <c r="A807" s="31">
        <f t="shared" si="55"/>
        <v>793</v>
      </c>
      <c r="B807" s="9" t="s">
        <v>317</v>
      </c>
      <c r="C807" s="32"/>
      <c r="D807" s="1" t="s">
        <v>1880</v>
      </c>
      <c r="E807" s="36">
        <f>E12*48.16</f>
        <v>3563.8399999999997</v>
      </c>
      <c r="F807" s="36">
        <f t="shared" si="52"/>
        <v>3385.6479999999997</v>
      </c>
      <c r="G807" s="26">
        <f t="shared" si="53"/>
        <v>3207.4559999999997</v>
      </c>
      <c r="H807" s="26">
        <f t="shared" si="54"/>
        <v>3029.2639999999997</v>
      </c>
    </row>
    <row r="808" spans="1:8" x14ac:dyDescent="0.2">
      <c r="A808" s="31">
        <f t="shared" si="55"/>
        <v>794</v>
      </c>
      <c r="B808" s="9" t="s">
        <v>452</v>
      </c>
      <c r="C808" s="32"/>
      <c r="D808" s="1" t="s">
        <v>1881</v>
      </c>
      <c r="E808" s="36">
        <f>E12*37</f>
        <v>2738</v>
      </c>
      <c r="F808" s="36">
        <f t="shared" si="52"/>
        <v>2601.1</v>
      </c>
      <c r="G808" s="26">
        <f t="shared" si="53"/>
        <v>2464.1999999999998</v>
      </c>
      <c r="H808" s="26">
        <f t="shared" si="54"/>
        <v>2327.3000000000002</v>
      </c>
    </row>
    <row r="809" spans="1:8" x14ac:dyDescent="0.2">
      <c r="A809" s="31">
        <f t="shared" si="55"/>
        <v>795</v>
      </c>
      <c r="B809" s="9" t="s">
        <v>1558</v>
      </c>
      <c r="C809" s="32">
        <v>81508226009</v>
      </c>
      <c r="D809" s="1" t="s">
        <v>1559</v>
      </c>
      <c r="E809" s="36">
        <f>E12*28.76</f>
        <v>2128.2400000000002</v>
      </c>
      <c r="F809" s="36">
        <f t="shared" si="52"/>
        <v>2021.8280000000002</v>
      </c>
      <c r="G809" s="26">
        <f t="shared" si="53"/>
        <v>1915.4160000000002</v>
      </c>
      <c r="H809" s="26">
        <f t="shared" si="54"/>
        <v>1809.0040000000001</v>
      </c>
    </row>
    <row r="810" spans="1:8" x14ac:dyDescent="0.2">
      <c r="A810" s="31">
        <f t="shared" si="55"/>
        <v>796</v>
      </c>
      <c r="B810" s="9" t="s">
        <v>1560</v>
      </c>
      <c r="C810" s="32">
        <v>81508026022</v>
      </c>
      <c r="D810" s="1" t="s">
        <v>1561</v>
      </c>
      <c r="E810" s="36">
        <f>E12*39.6</f>
        <v>2930.4</v>
      </c>
      <c r="F810" s="36">
        <f t="shared" si="52"/>
        <v>2783.88</v>
      </c>
      <c r="G810" s="26">
        <f t="shared" si="53"/>
        <v>2637.36</v>
      </c>
      <c r="H810" s="26">
        <f t="shared" si="54"/>
        <v>2490.84</v>
      </c>
    </row>
    <row r="811" spans="1:8" x14ac:dyDescent="0.2">
      <c r="A811" s="31">
        <f t="shared" si="55"/>
        <v>797</v>
      </c>
      <c r="B811" s="9" t="s">
        <v>804</v>
      </c>
      <c r="C811" s="32">
        <v>81417006095</v>
      </c>
      <c r="D811" s="1" t="s">
        <v>1882</v>
      </c>
      <c r="E811" s="36">
        <f>E12*36.18</f>
        <v>2677.32</v>
      </c>
      <c r="F811" s="36">
        <f t="shared" si="52"/>
        <v>2543.4540000000002</v>
      </c>
      <c r="G811" s="26">
        <f t="shared" si="53"/>
        <v>2409.5880000000002</v>
      </c>
      <c r="H811" s="26">
        <f t="shared" si="54"/>
        <v>2275.7220000000002</v>
      </c>
    </row>
    <row r="812" spans="1:8" x14ac:dyDescent="0.2">
      <c r="A812" s="31">
        <f t="shared" si="55"/>
        <v>798</v>
      </c>
      <c r="B812" s="9" t="s">
        <v>1169</v>
      </c>
      <c r="C812" s="32">
        <v>82840002210</v>
      </c>
      <c r="D812" s="1" t="s">
        <v>1883</v>
      </c>
      <c r="E812" s="36">
        <f>E12*45</f>
        <v>3330</v>
      </c>
      <c r="F812" s="36">
        <f t="shared" si="52"/>
        <v>3163.5</v>
      </c>
      <c r="G812" s="26">
        <f t="shared" si="53"/>
        <v>2997</v>
      </c>
      <c r="H812" s="26">
        <f t="shared" si="54"/>
        <v>2830.5</v>
      </c>
    </row>
    <row r="813" spans="1:8" x14ac:dyDescent="0.2">
      <c r="A813" s="31">
        <f t="shared" si="55"/>
        <v>799</v>
      </c>
      <c r="B813" s="9" t="s">
        <v>1562</v>
      </c>
      <c r="C813" s="32" t="s">
        <v>1564</v>
      </c>
      <c r="D813" s="1" t="s">
        <v>1563</v>
      </c>
      <c r="E813" s="36">
        <f>E12*18.48</f>
        <v>1367.52</v>
      </c>
      <c r="F813" s="36">
        <f t="shared" si="52"/>
        <v>1299.144</v>
      </c>
      <c r="G813" s="26">
        <f t="shared" si="53"/>
        <v>1230.768</v>
      </c>
      <c r="H813" s="26">
        <f t="shared" si="54"/>
        <v>1162.3920000000001</v>
      </c>
    </row>
    <row r="814" spans="1:8" x14ac:dyDescent="0.2">
      <c r="A814" s="31">
        <f t="shared" si="55"/>
        <v>800</v>
      </c>
      <c r="B814" s="9" t="s">
        <v>1142</v>
      </c>
      <c r="C814" s="32" t="s">
        <v>1553</v>
      </c>
      <c r="D814" s="1" t="s">
        <v>1552</v>
      </c>
      <c r="E814" s="36">
        <f>E12*27.22</f>
        <v>2014.28</v>
      </c>
      <c r="F814" s="36">
        <f t="shared" si="52"/>
        <v>1913.566</v>
      </c>
      <c r="G814" s="26">
        <f t="shared" si="53"/>
        <v>1812.8519999999999</v>
      </c>
      <c r="H814" s="26">
        <f t="shared" si="54"/>
        <v>1712.1379999999999</v>
      </c>
    </row>
    <row r="815" spans="1:8" x14ac:dyDescent="0.2">
      <c r="A815" s="31">
        <f t="shared" si="55"/>
        <v>801</v>
      </c>
      <c r="B815" s="9" t="s">
        <v>1132</v>
      </c>
      <c r="C815" s="32">
        <v>12999678</v>
      </c>
      <c r="D815" s="1" t="s">
        <v>1884</v>
      </c>
      <c r="E815" s="36">
        <f>E12*40</f>
        <v>2960</v>
      </c>
      <c r="F815" s="36">
        <f t="shared" ref="F815:F878" si="56">E815-E815*5%</f>
        <v>2812</v>
      </c>
      <c r="G815" s="26">
        <f t="shared" ref="G815:G878" si="57">E815-E815*10%</f>
        <v>2664</v>
      </c>
      <c r="H815" s="26">
        <f t="shared" ref="H815:H878" si="58">E815-E815*15%</f>
        <v>2516</v>
      </c>
    </row>
    <row r="816" spans="1:8" x14ac:dyDescent="0.2">
      <c r="A816" s="31">
        <f t="shared" si="55"/>
        <v>802</v>
      </c>
      <c r="B816" s="9" t="s">
        <v>1165</v>
      </c>
      <c r="C816" s="32" t="s">
        <v>1616</v>
      </c>
      <c r="D816" s="1" t="s">
        <v>1615</v>
      </c>
      <c r="E816" s="36">
        <f>E12*23.77</f>
        <v>1758.98</v>
      </c>
      <c r="F816" s="36">
        <f t="shared" si="56"/>
        <v>1671.0309999999999</v>
      </c>
      <c r="G816" s="26">
        <f t="shared" si="57"/>
        <v>1583.0819999999999</v>
      </c>
      <c r="H816" s="26">
        <f t="shared" si="58"/>
        <v>1495.133</v>
      </c>
    </row>
    <row r="817" spans="1:8" x14ac:dyDescent="0.2">
      <c r="A817" s="31">
        <f t="shared" si="55"/>
        <v>803</v>
      </c>
      <c r="B817" s="9" t="s">
        <v>1270</v>
      </c>
      <c r="C817" s="32">
        <v>81442056013</v>
      </c>
      <c r="D817" s="1" t="s">
        <v>1885</v>
      </c>
      <c r="E817" s="36">
        <f>E12*72.8</f>
        <v>5387.2</v>
      </c>
      <c r="F817" s="36">
        <f t="shared" si="56"/>
        <v>5117.84</v>
      </c>
      <c r="G817" s="26">
        <f t="shared" si="57"/>
        <v>4848.4799999999996</v>
      </c>
      <c r="H817" s="26">
        <f t="shared" si="58"/>
        <v>4579.12</v>
      </c>
    </row>
    <row r="818" spans="1:8" x14ac:dyDescent="0.2">
      <c r="A818" s="31">
        <f t="shared" si="55"/>
        <v>804</v>
      </c>
      <c r="B818" s="9" t="s">
        <v>665</v>
      </c>
      <c r="C818" s="32">
        <v>3913300219</v>
      </c>
      <c r="D818" s="30" t="s">
        <v>1886</v>
      </c>
      <c r="E818" s="36">
        <f>E12*71.7</f>
        <v>5305.8</v>
      </c>
      <c r="F818" s="36">
        <f t="shared" si="56"/>
        <v>5040.51</v>
      </c>
      <c r="G818" s="26">
        <f t="shared" si="57"/>
        <v>4775.22</v>
      </c>
      <c r="H818" s="26">
        <f t="shared" si="58"/>
        <v>4509.93</v>
      </c>
    </row>
    <row r="819" spans="1:8" x14ac:dyDescent="0.2">
      <c r="A819" s="31">
        <f t="shared" si="55"/>
        <v>805</v>
      </c>
      <c r="B819" s="9" t="s">
        <v>605</v>
      </c>
      <c r="C819" s="32"/>
      <c r="D819" s="1" t="s">
        <v>606</v>
      </c>
      <c r="E819" s="36">
        <f>E12*71.7</f>
        <v>5305.8</v>
      </c>
      <c r="F819" s="36">
        <f t="shared" si="56"/>
        <v>5040.51</v>
      </c>
      <c r="G819" s="26">
        <f t="shared" si="57"/>
        <v>4775.22</v>
      </c>
      <c r="H819" s="26">
        <f t="shared" si="58"/>
        <v>4509.93</v>
      </c>
    </row>
    <row r="820" spans="1:8" x14ac:dyDescent="0.2">
      <c r="A820" s="31">
        <f t="shared" si="55"/>
        <v>806</v>
      </c>
      <c r="B820" s="9" t="s">
        <v>866</v>
      </c>
      <c r="C820" s="32">
        <v>3555860133</v>
      </c>
      <c r="D820" s="1" t="s">
        <v>1887</v>
      </c>
      <c r="E820" s="36">
        <f>E12*54.6</f>
        <v>4040.4</v>
      </c>
      <c r="F820" s="36">
        <f t="shared" si="56"/>
        <v>3838.38</v>
      </c>
      <c r="G820" s="26">
        <f t="shared" si="57"/>
        <v>3636.36</v>
      </c>
      <c r="H820" s="26">
        <f t="shared" si="58"/>
        <v>3434.34</v>
      </c>
    </row>
    <row r="821" spans="1:8" x14ac:dyDescent="0.2">
      <c r="A821" s="31">
        <f t="shared" si="55"/>
        <v>807</v>
      </c>
      <c r="B821" s="9" t="s">
        <v>988</v>
      </c>
      <c r="C821" s="32">
        <v>3003300119</v>
      </c>
      <c r="D821" s="1" t="s">
        <v>1888</v>
      </c>
      <c r="E821" s="36">
        <f>E12*63.7</f>
        <v>4713.8</v>
      </c>
      <c r="F821" s="36">
        <f t="shared" si="56"/>
        <v>4478.1100000000006</v>
      </c>
      <c r="G821" s="26">
        <f t="shared" si="57"/>
        <v>4242.42</v>
      </c>
      <c r="H821" s="26">
        <f t="shared" si="58"/>
        <v>4006.73</v>
      </c>
    </row>
    <row r="822" spans="1:8" x14ac:dyDescent="0.2">
      <c r="A822" s="31">
        <f t="shared" si="55"/>
        <v>808</v>
      </c>
      <c r="B822" s="9" t="s">
        <v>719</v>
      </c>
      <c r="C822" s="32"/>
      <c r="D822" s="1" t="s">
        <v>1889</v>
      </c>
      <c r="E822" s="36">
        <f>E12*89.2</f>
        <v>6600.8</v>
      </c>
      <c r="F822" s="36">
        <f t="shared" si="56"/>
        <v>6270.76</v>
      </c>
      <c r="G822" s="26">
        <f t="shared" si="57"/>
        <v>5940.72</v>
      </c>
      <c r="H822" s="26">
        <f t="shared" si="58"/>
        <v>5610.68</v>
      </c>
    </row>
    <row r="823" spans="1:8" x14ac:dyDescent="0.2">
      <c r="A823" s="31">
        <f t="shared" si="55"/>
        <v>809</v>
      </c>
      <c r="B823" s="9" t="s">
        <v>1269</v>
      </c>
      <c r="C823" s="32">
        <v>3604200441</v>
      </c>
      <c r="D823" s="1" t="s">
        <v>1890</v>
      </c>
      <c r="E823" s="36">
        <f>E12*28.2</f>
        <v>2086.7999999999997</v>
      </c>
      <c r="F823" s="36">
        <f t="shared" si="56"/>
        <v>1982.4599999999998</v>
      </c>
      <c r="G823" s="26">
        <f t="shared" si="57"/>
        <v>1878.1199999999997</v>
      </c>
      <c r="H823" s="26">
        <f t="shared" si="58"/>
        <v>1773.7799999999997</v>
      </c>
    </row>
    <row r="824" spans="1:8" x14ac:dyDescent="0.2">
      <c r="A824" s="31">
        <f t="shared" si="55"/>
        <v>810</v>
      </c>
      <c r="B824" s="9" t="s">
        <v>947</v>
      </c>
      <c r="C824" s="32">
        <v>8285057052</v>
      </c>
      <c r="D824" s="1" t="s">
        <v>1891</v>
      </c>
      <c r="E824" s="36">
        <f>E12*9.55</f>
        <v>706.7</v>
      </c>
      <c r="F824" s="36">
        <f t="shared" si="56"/>
        <v>671.36500000000001</v>
      </c>
      <c r="G824" s="26">
        <f t="shared" si="57"/>
        <v>636.03000000000009</v>
      </c>
      <c r="H824" s="26">
        <f t="shared" si="58"/>
        <v>600.69500000000005</v>
      </c>
    </row>
    <row r="825" spans="1:8" s="29" customFormat="1" x14ac:dyDescent="0.2">
      <c r="A825" s="31">
        <f t="shared" si="55"/>
        <v>811</v>
      </c>
      <c r="B825" s="32">
        <v>234210</v>
      </c>
      <c r="C825" s="32" t="s">
        <v>1525</v>
      </c>
      <c r="D825" s="30" t="s">
        <v>1526</v>
      </c>
      <c r="E825" s="36">
        <f>E12*10.96</f>
        <v>811.04000000000008</v>
      </c>
      <c r="F825" s="36">
        <f t="shared" si="56"/>
        <v>770.48800000000006</v>
      </c>
      <c r="G825" s="26">
        <f t="shared" si="57"/>
        <v>729.93600000000004</v>
      </c>
      <c r="H825" s="26"/>
    </row>
    <row r="826" spans="1:8" x14ac:dyDescent="0.2">
      <c r="A826" s="31">
        <f t="shared" si="55"/>
        <v>812</v>
      </c>
      <c r="B826" s="9" t="s">
        <v>64</v>
      </c>
      <c r="C826" s="32" t="s">
        <v>1893</v>
      </c>
      <c r="D826" s="1" t="s">
        <v>1892</v>
      </c>
      <c r="E826" s="36">
        <f>E12*15.65</f>
        <v>1158.1000000000001</v>
      </c>
      <c r="F826" s="36">
        <f t="shared" si="56"/>
        <v>1100.1950000000002</v>
      </c>
      <c r="G826" s="26">
        <f t="shared" si="57"/>
        <v>1042.2900000000002</v>
      </c>
      <c r="H826" s="26">
        <f t="shared" si="58"/>
        <v>984.3850000000001</v>
      </c>
    </row>
    <row r="827" spans="1:8" x14ac:dyDescent="0.2">
      <c r="A827" s="31">
        <f t="shared" si="55"/>
        <v>813</v>
      </c>
      <c r="B827" s="9" t="s">
        <v>189</v>
      </c>
      <c r="C827" s="32" t="s">
        <v>1895</v>
      </c>
      <c r="D827" s="1" t="s">
        <v>1894</v>
      </c>
      <c r="E827" s="36">
        <f>E12*15.65</f>
        <v>1158.1000000000001</v>
      </c>
      <c r="F827" s="36">
        <f t="shared" si="56"/>
        <v>1100.1950000000002</v>
      </c>
      <c r="G827" s="26">
        <f t="shared" si="57"/>
        <v>1042.2900000000002</v>
      </c>
      <c r="H827" s="26">
        <f t="shared" si="58"/>
        <v>984.3850000000001</v>
      </c>
    </row>
    <row r="828" spans="1:8" x14ac:dyDescent="0.2">
      <c r="A828" s="31">
        <f t="shared" si="55"/>
        <v>814</v>
      </c>
      <c r="B828" s="9" t="s">
        <v>256</v>
      </c>
      <c r="C828" s="32" t="s">
        <v>1897</v>
      </c>
      <c r="D828" s="1" t="s">
        <v>1896</v>
      </c>
      <c r="E828" s="36">
        <f>E12*8.33</f>
        <v>616.41999999999996</v>
      </c>
      <c r="F828" s="36">
        <f t="shared" si="56"/>
        <v>585.59899999999993</v>
      </c>
      <c r="G828" s="26">
        <f t="shared" si="57"/>
        <v>554.77800000000002</v>
      </c>
      <c r="H828" s="26">
        <f t="shared" si="58"/>
        <v>523.95699999999999</v>
      </c>
    </row>
    <row r="829" spans="1:8" x14ac:dyDescent="0.2">
      <c r="A829" s="31">
        <f t="shared" si="55"/>
        <v>815</v>
      </c>
      <c r="B829" s="9" t="s">
        <v>789</v>
      </c>
      <c r="C829" s="32" t="s">
        <v>1899</v>
      </c>
      <c r="D829" s="1" t="s">
        <v>1898</v>
      </c>
      <c r="E829" s="36">
        <f>E12*7.21</f>
        <v>533.54</v>
      </c>
      <c r="F829" s="36">
        <f t="shared" si="56"/>
        <v>506.86299999999994</v>
      </c>
      <c r="G829" s="26">
        <f t="shared" si="57"/>
        <v>480.18599999999998</v>
      </c>
      <c r="H829" s="26">
        <f t="shared" si="58"/>
        <v>453.50899999999996</v>
      </c>
    </row>
    <row r="830" spans="1:8" x14ac:dyDescent="0.2">
      <c r="A830" s="31">
        <f t="shared" si="55"/>
        <v>816</v>
      </c>
      <c r="B830" s="9" t="s">
        <v>871</v>
      </c>
      <c r="C830" s="32" t="s">
        <v>1292</v>
      </c>
      <c r="D830" s="1" t="s">
        <v>1900</v>
      </c>
      <c r="E830" s="36">
        <f>E12*5.63</f>
        <v>416.62</v>
      </c>
      <c r="F830" s="36">
        <f t="shared" si="56"/>
        <v>395.78899999999999</v>
      </c>
      <c r="G830" s="26">
        <f t="shared" si="57"/>
        <v>374.95799999999997</v>
      </c>
      <c r="H830" s="26">
        <f t="shared" si="58"/>
        <v>354.12700000000001</v>
      </c>
    </row>
    <row r="831" spans="1:8" x14ac:dyDescent="0.2">
      <c r="A831" s="31">
        <f t="shared" si="55"/>
        <v>817</v>
      </c>
      <c r="B831" s="9" t="s">
        <v>190</v>
      </c>
      <c r="C831" s="32">
        <v>81307156104</v>
      </c>
      <c r="D831" s="1" t="s">
        <v>1901</v>
      </c>
      <c r="E831" s="36">
        <f>E12*19.42</f>
        <v>1437.0800000000002</v>
      </c>
      <c r="F831" s="36">
        <f t="shared" si="56"/>
        <v>1365.2260000000001</v>
      </c>
      <c r="G831" s="26">
        <f t="shared" si="57"/>
        <v>1293.3720000000001</v>
      </c>
      <c r="H831" s="26">
        <f t="shared" si="58"/>
        <v>1221.518</v>
      </c>
    </row>
    <row r="832" spans="1:8" x14ac:dyDescent="0.2">
      <c r="A832" s="31">
        <f t="shared" si="55"/>
        <v>818</v>
      </c>
      <c r="B832" s="9" t="s">
        <v>448</v>
      </c>
      <c r="C832" s="32" t="s">
        <v>1903</v>
      </c>
      <c r="D832" s="1" t="s">
        <v>1902</v>
      </c>
      <c r="E832" s="36">
        <f>E12*7.2</f>
        <v>532.80000000000007</v>
      </c>
      <c r="F832" s="36">
        <f t="shared" si="56"/>
        <v>506.16000000000008</v>
      </c>
      <c r="G832" s="26">
        <f t="shared" si="57"/>
        <v>479.52000000000004</v>
      </c>
      <c r="H832" s="26">
        <f t="shared" si="58"/>
        <v>452.88000000000005</v>
      </c>
    </row>
    <row r="833" spans="1:8" x14ac:dyDescent="0.2">
      <c r="A833" s="31">
        <f t="shared" si="55"/>
        <v>819</v>
      </c>
      <c r="B833" s="9" t="s">
        <v>153</v>
      </c>
      <c r="C833" s="32" t="s">
        <v>1905</v>
      </c>
      <c r="D833" s="1" t="s">
        <v>1904</v>
      </c>
      <c r="E833" s="36">
        <f>E12*9.18</f>
        <v>679.31999999999994</v>
      </c>
      <c r="F833" s="36">
        <f t="shared" si="56"/>
        <v>645.35399999999993</v>
      </c>
      <c r="G833" s="26">
        <f t="shared" si="57"/>
        <v>611.38799999999992</v>
      </c>
      <c r="H833" s="26">
        <f t="shared" si="58"/>
        <v>577.42199999999991</v>
      </c>
    </row>
    <row r="834" spans="1:8" x14ac:dyDescent="0.2">
      <c r="A834" s="31">
        <f t="shared" si="55"/>
        <v>820</v>
      </c>
      <c r="B834" s="9" t="s">
        <v>505</v>
      </c>
      <c r="C834" s="32">
        <v>3094730</v>
      </c>
      <c r="D834" s="1" t="s">
        <v>1906</v>
      </c>
      <c r="E834" s="36">
        <f>E12*10.38</f>
        <v>768.12</v>
      </c>
      <c r="F834" s="36">
        <f t="shared" si="56"/>
        <v>729.71399999999994</v>
      </c>
      <c r="G834" s="26">
        <f t="shared" si="57"/>
        <v>691.30799999999999</v>
      </c>
      <c r="H834" s="26">
        <f t="shared" si="58"/>
        <v>652.90200000000004</v>
      </c>
    </row>
    <row r="835" spans="1:8" x14ac:dyDescent="0.2">
      <c r="A835" s="31">
        <f t="shared" si="55"/>
        <v>821</v>
      </c>
      <c r="B835" s="9" t="s">
        <v>563</v>
      </c>
      <c r="C835" s="32" t="s">
        <v>1908</v>
      </c>
      <c r="D835" s="1" t="s">
        <v>1907</v>
      </c>
      <c r="E835" s="36">
        <f>E12*170</f>
        <v>12580</v>
      </c>
      <c r="F835" s="36">
        <f t="shared" si="56"/>
        <v>11951</v>
      </c>
      <c r="G835" s="26">
        <f t="shared" si="57"/>
        <v>11322</v>
      </c>
      <c r="H835" s="26">
        <f t="shared" si="58"/>
        <v>10693</v>
      </c>
    </row>
    <row r="836" spans="1:8" x14ac:dyDescent="0.2">
      <c r="A836" s="31">
        <f t="shared" si="55"/>
        <v>822</v>
      </c>
      <c r="B836" s="9" t="s">
        <v>1911</v>
      </c>
      <c r="C836" s="32"/>
      <c r="D836" s="1" t="s">
        <v>473</v>
      </c>
      <c r="E836" s="36">
        <f>E12*12.92</f>
        <v>956.08</v>
      </c>
      <c r="F836" s="36">
        <f t="shared" si="56"/>
        <v>908.27600000000007</v>
      </c>
      <c r="G836" s="26">
        <f t="shared" si="57"/>
        <v>860.47199999999998</v>
      </c>
      <c r="H836" s="26">
        <f t="shared" si="58"/>
        <v>812.66800000000001</v>
      </c>
    </row>
    <row r="837" spans="1:8" x14ac:dyDescent="0.2">
      <c r="A837" s="31">
        <f t="shared" si="55"/>
        <v>823</v>
      </c>
      <c r="B837" s="9" t="s">
        <v>1912</v>
      </c>
      <c r="C837" s="32"/>
      <c r="D837" s="1" t="s">
        <v>1190</v>
      </c>
      <c r="E837" s="36">
        <f>E12*12.95</f>
        <v>958.3</v>
      </c>
      <c r="F837" s="36">
        <f t="shared" si="56"/>
        <v>910.38499999999999</v>
      </c>
      <c r="G837" s="26">
        <f t="shared" si="57"/>
        <v>862.46999999999991</v>
      </c>
      <c r="H837" s="26">
        <f t="shared" si="58"/>
        <v>814.55499999999995</v>
      </c>
    </row>
    <row r="838" spans="1:8" x14ac:dyDescent="0.2">
      <c r="A838" s="31">
        <f t="shared" si="55"/>
        <v>824</v>
      </c>
      <c r="B838" s="9" t="s">
        <v>1913</v>
      </c>
      <c r="C838" s="32">
        <v>6137500093</v>
      </c>
      <c r="D838" s="1" t="s">
        <v>1909</v>
      </c>
      <c r="E838" s="36">
        <f>E12*26.02</f>
        <v>1925.48</v>
      </c>
      <c r="F838" s="36">
        <f t="shared" si="56"/>
        <v>1829.2060000000001</v>
      </c>
      <c r="G838" s="26">
        <f t="shared" si="57"/>
        <v>1732.932</v>
      </c>
      <c r="H838" s="26">
        <f t="shared" si="58"/>
        <v>1636.6579999999999</v>
      </c>
    </row>
    <row r="839" spans="1:8" x14ac:dyDescent="0.2">
      <c r="A839" s="31">
        <f t="shared" si="55"/>
        <v>825</v>
      </c>
      <c r="B839" s="9" t="s">
        <v>1126</v>
      </c>
      <c r="C839" s="32">
        <v>6139880360</v>
      </c>
      <c r="D839" s="1" t="s">
        <v>1910</v>
      </c>
      <c r="E839" s="36">
        <f>E12*39.65</f>
        <v>2934.1</v>
      </c>
      <c r="F839" s="36">
        <f t="shared" si="56"/>
        <v>2787.395</v>
      </c>
      <c r="G839" s="26">
        <f t="shared" si="57"/>
        <v>2640.69</v>
      </c>
      <c r="H839" s="26">
        <f t="shared" si="58"/>
        <v>2493.9850000000001</v>
      </c>
    </row>
    <row r="840" spans="1:8" x14ac:dyDescent="0.2">
      <c r="A840" s="31">
        <f t="shared" si="55"/>
        <v>826</v>
      </c>
      <c r="B840" s="9" t="s">
        <v>1049</v>
      </c>
      <c r="C840" s="32">
        <v>6202680042</v>
      </c>
      <c r="D840" s="1" t="s">
        <v>1914</v>
      </c>
      <c r="E840" s="36">
        <f>E12*11.2</f>
        <v>828.8</v>
      </c>
      <c r="F840" s="36">
        <f t="shared" si="56"/>
        <v>787.3599999999999</v>
      </c>
      <c r="G840" s="26">
        <f t="shared" si="57"/>
        <v>745.92</v>
      </c>
      <c r="H840" s="26">
        <f t="shared" si="58"/>
        <v>704.48</v>
      </c>
    </row>
    <row r="841" spans="1:8" s="29" customFormat="1" x14ac:dyDescent="0.2">
      <c r="A841" s="31">
        <f t="shared" si="55"/>
        <v>827</v>
      </c>
      <c r="B841" s="32">
        <v>155923</v>
      </c>
      <c r="C841" s="32">
        <v>6133300011</v>
      </c>
      <c r="D841" s="30" t="s">
        <v>2041</v>
      </c>
      <c r="E841" s="36">
        <f>E12*83.25</f>
        <v>6160.5</v>
      </c>
      <c r="F841" s="36">
        <f t="shared" si="56"/>
        <v>5852.4750000000004</v>
      </c>
      <c r="G841" s="26">
        <f t="shared" si="57"/>
        <v>5544.45</v>
      </c>
      <c r="H841" s="26">
        <f t="shared" si="58"/>
        <v>5236.4250000000002</v>
      </c>
    </row>
    <row r="842" spans="1:8" s="29" customFormat="1" x14ac:dyDescent="0.2">
      <c r="A842" s="31">
        <f t="shared" si="55"/>
        <v>828</v>
      </c>
      <c r="B842" s="32">
        <v>155924</v>
      </c>
      <c r="C842" s="32">
        <v>6133500006</v>
      </c>
      <c r="D842" s="30" t="s">
        <v>2043</v>
      </c>
      <c r="E842" s="36">
        <f>E12*124.93</f>
        <v>9244.82</v>
      </c>
      <c r="F842" s="36">
        <f t="shared" si="56"/>
        <v>8782.5789999999997</v>
      </c>
      <c r="G842" s="26">
        <f t="shared" si="57"/>
        <v>8320.3379999999997</v>
      </c>
      <c r="H842" s="26">
        <f t="shared" si="58"/>
        <v>7858.0969999999998</v>
      </c>
    </row>
    <row r="843" spans="1:8" s="29" customFormat="1" x14ac:dyDescent="0.2">
      <c r="A843" s="31">
        <f t="shared" si="55"/>
        <v>829</v>
      </c>
      <c r="B843" s="32">
        <v>10558</v>
      </c>
      <c r="C843" s="32">
        <v>81432206248</v>
      </c>
      <c r="D843" s="30" t="s">
        <v>2453</v>
      </c>
      <c r="E843" s="36">
        <f>E12*124.6</f>
        <v>9220.4</v>
      </c>
      <c r="F843" s="36">
        <f t="shared" si="56"/>
        <v>8759.3799999999992</v>
      </c>
      <c r="G843" s="26">
        <f t="shared" si="57"/>
        <v>8298.36</v>
      </c>
      <c r="H843" s="26">
        <f t="shared" si="58"/>
        <v>7837.34</v>
      </c>
    </row>
    <row r="844" spans="1:8" x14ac:dyDescent="0.2">
      <c r="A844" s="31">
        <f t="shared" si="55"/>
        <v>830</v>
      </c>
      <c r="B844" s="9" t="s">
        <v>560</v>
      </c>
      <c r="C844" s="32"/>
      <c r="D844" s="1" t="s">
        <v>26</v>
      </c>
      <c r="E844" s="36">
        <f>E12*1.25</f>
        <v>92.5</v>
      </c>
      <c r="F844" s="36">
        <f t="shared" si="56"/>
        <v>87.875</v>
      </c>
      <c r="G844" s="26">
        <f t="shared" si="57"/>
        <v>83.25</v>
      </c>
      <c r="H844" s="26">
        <f t="shared" si="58"/>
        <v>78.625</v>
      </c>
    </row>
    <row r="845" spans="1:8" x14ac:dyDescent="0.2">
      <c r="A845" s="31">
        <f t="shared" si="55"/>
        <v>831</v>
      </c>
      <c r="B845" s="9" t="s">
        <v>781</v>
      </c>
      <c r="C845" s="32"/>
      <c r="D845" s="1" t="s">
        <v>27</v>
      </c>
      <c r="E845" s="36">
        <f>E12*1.68</f>
        <v>124.32</v>
      </c>
      <c r="F845" s="36">
        <f t="shared" si="56"/>
        <v>118.104</v>
      </c>
      <c r="G845" s="26">
        <f t="shared" si="57"/>
        <v>111.88799999999999</v>
      </c>
      <c r="H845" s="26">
        <f t="shared" si="58"/>
        <v>105.672</v>
      </c>
    </row>
    <row r="846" spans="1:8" x14ac:dyDescent="0.2">
      <c r="A846" s="31">
        <f t="shared" si="55"/>
        <v>832</v>
      </c>
      <c r="B846" s="9" t="s">
        <v>747</v>
      </c>
      <c r="C846" s="32"/>
      <c r="D846" s="1" t="s">
        <v>28</v>
      </c>
      <c r="E846" s="36">
        <f>E12*1.63</f>
        <v>120.61999999999999</v>
      </c>
      <c r="F846" s="36">
        <f t="shared" si="56"/>
        <v>114.58899999999998</v>
      </c>
      <c r="G846" s="26">
        <f t="shared" si="57"/>
        <v>108.55799999999999</v>
      </c>
      <c r="H846" s="26">
        <f t="shared" si="58"/>
        <v>102.52699999999999</v>
      </c>
    </row>
    <row r="847" spans="1:8" x14ac:dyDescent="0.2">
      <c r="A847" s="31">
        <f t="shared" si="55"/>
        <v>833</v>
      </c>
      <c r="B847" s="9" t="s">
        <v>627</v>
      </c>
      <c r="C847" s="32"/>
      <c r="D847" s="1" t="s">
        <v>29</v>
      </c>
      <c r="E847" s="36">
        <f>E12*1.75</f>
        <v>129.5</v>
      </c>
      <c r="F847" s="36">
        <f t="shared" si="56"/>
        <v>123.02500000000001</v>
      </c>
      <c r="G847" s="26">
        <f t="shared" si="57"/>
        <v>116.55</v>
      </c>
      <c r="H847" s="26">
        <f t="shared" si="58"/>
        <v>110.075</v>
      </c>
    </row>
    <row r="848" spans="1:8" x14ac:dyDescent="0.2">
      <c r="A848" s="31">
        <f t="shared" si="55"/>
        <v>834</v>
      </c>
      <c r="B848" s="9" t="s">
        <v>574</v>
      </c>
      <c r="C848" s="32"/>
      <c r="D848" s="1" t="s">
        <v>575</v>
      </c>
      <c r="E848" s="36">
        <f>E12*1.88</f>
        <v>139.12</v>
      </c>
      <c r="F848" s="36">
        <f t="shared" si="56"/>
        <v>132.16400000000002</v>
      </c>
      <c r="G848" s="26">
        <f t="shared" si="57"/>
        <v>125.208</v>
      </c>
      <c r="H848" s="26">
        <f t="shared" si="58"/>
        <v>118.25200000000001</v>
      </c>
    </row>
    <row r="849" spans="1:8" x14ac:dyDescent="0.2">
      <c r="A849" s="31">
        <f t="shared" ref="A849:A912" si="59">A848+1</f>
        <v>835</v>
      </c>
      <c r="B849" s="9">
        <v>18936</v>
      </c>
      <c r="C849" s="32"/>
      <c r="D849" s="1" t="s">
        <v>924</v>
      </c>
      <c r="E849" s="36">
        <f>E12*2.66</f>
        <v>196.84</v>
      </c>
      <c r="F849" s="36">
        <f t="shared" si="56"/>
        <v>186.99799999999999</v>
      </c>
      <c r="G849" s="26">
        <f t="shared" si="57"/>
        <v>177.15600000000001</v>
      </c>
      <c r="H849" s="26">
        <f t="shared" si="58"/>
        <v>167.31399999999999</v>
      </c>
    </row>
    <row r="850" spans="1:8" x14ac:dyDescent="0.2">
      <c r="A850" s="31">
        <f t="shared" si="59"/>
        <v>836</v>
      </c>
      <c r="B850" s="9" t="s">
        <v>626</v>
      </c>
      <c r="C850" s="32"/>
      <c r="D850" s="1" t="s">
        <v>239</v>
      </c>
      <c r="E850" s="36">
        <f>E12*1.75</f>
        <v>129.5</v>
      </c>
      <c r="F850" s="36">
        <f t="shared" si="56"/>
        <v>123.02500000000001</v>
      </c>
      <c r="G850" s="26">
        <f t="shared" si="57"/>
        <v>116.55</v>
      </c>
      <c r="H850" s="26">
        <f t="shared" si="58"/>
        <v>110.075</v>
      </c>
    </row>
    <row r="851" spans="1:8" x14ac:dyDescent="0.2">
      <c r="A851" s="31">
        <f t="shared" si="59"/>
        <v>837</v>
      </c>
      <c r="B851" s="9" t="s">
        <v>578</v>
      </c>
      <c r="C851" s="32"/>
      <c r="D851" s="1" t="s">
        <v>14</v>
      </c>
      <c r="E851" s="36">
        <f>E12*2.68</f>
        <v>198.32000000000002</v>
      </c>
      <c r="F851" s="36">
        <f t="shared" si="56"/>
        <v>188.40400000000002</v>
      </c>
      <c r="G851" s="26">
        <f t="shared" si="57"/>
        <v>178.48800000000003</v>
      </c>
      <c r="H851" s="26">
        <f t="shared" si="58"/>
        <v>168.57200000000003</v>
      </c>
    </row>
    <row r="852" spans="1:8" x14ac:dyDescent="0.2">
      <c r="A852" s="31">
        <f t="shared" si="59"/>
        <v>838</v>
      </c>
      <c r="B852" s="9" t="s">
        <v>1057</v>
      </c>
      <c r="C852" s="32"/>
      <c r="D852" s="1" t="s">
        <v>729</v>
      </c>
      <c r="E852" s="36">
        <f>E12*14.38</f>
        <v>1064.1200000000001</v>
      </c>
      <c r="F852" s="36">
        <f t="shared" si="56"/>
        <v>1010.9140000000001</v>
      </c>
      <c r="G852" s="26">
        <f t="shared" si="57"/>
        <v>957.70800000000008</v>
      </c>
      <c r="H852" s="26">
        <f t="shared" si="58"/>
        <v>904.50200000000007</v>
      </c>
    </row>
    <row r="853" spans="1:8" x14ac:dyDescent="0.2">
      <c r="A853" s="31">
        <f t="shared" si="59"/>
        <v>839</v>
      </c>
      <c r="B853" s="9" t="s">
        <v>1155</v>
      </c>
      <c r="C853" s="32"/>
      <c r="D853" s="1" t="s">
        <v>1154</v>
      </c>
      <c r="E853" s="36">
        <f>E12*1.81</f>
        <v>133.94</v>
      </c>
      <c r="F853" s="36">
        <f t="shared" si="56"/>
        <v>127.24299999999999</v>
      </c>
      <c r="G853" s="26">
        <f t="shared" si="57"/>
        <v>120.54599999999999</v>
      </c>
      <c r="H853" s="26">
        <f t="shared" si="58"/>
        <v>113.849</v>
      </c>
    </row>
    <row r="854" spans="1:8" x14ac:dyDescent="0.2">
      <c r="A854" s="31">
        <f t="shared" si="59"/>
        <v>840</v>
      </c>
      <c r="B854" s="9" t="s">
        <v>577</v>
      </c>
      <c r="C854" s="32"/>
      <c r="D854" s="1" t="s">
        <v>8</v>
      </c>
      <c r="E854" s="36">
        <f>E12*6</f>
        <v>444</v>
      </c>
      <c r="F854" s="36">
        <f t="shared" si="56"/>
        <v>421.8</v>
      </c>
      <c r="G854" s="26">
        <f t="shared" si="57"/>
        <v>399.6</v>
      </c>
      <c r="H854" s="26">
        <f t="shared" si="58"/>
        <v>377.4</v>
      </c>
    </row>
    <row r="855" spans="1:8" x14ac:dyDescent="0.2">
      <c r="A855" s="31">
        <f t="shared" si="59"/>
        <v>841</v>
      </c>
      <c r="B855" s="9" t="s">
        <v>931</v>
      </c>
      <c r="C855" s="32"/>
      <c r="D855" s="1" t="s">
        <v>980</v>
      </c>
      <c r="E855" s="36">
        <f>E12*3.36</f>
        <v>248.64</v>
      </c>
      <c r="F855" s="36">
        <f t="shared" si="56"/>
        <v>236.208</v>
      </c>
      <c r="G855" s="26">
        <f t="shared" si="57"/>
        <v>223.77599999999998</v>
      </c>
      <c r="H855" s="26">
        <f t="shared" si="58"/>
        <v>211.34399999999999</v>
      </c>
    </row>
    <row r="856" spans="1:8" x14ac:dyDescent="0.2">
      <c r="A856" s="31">
        <f t="shared" si="59"/>
        <v>842</v>
      </c>
      <c r="B856" s="9"/>
      <c r="C856" s="32"/>
      <c r="D856" s="1" t="s">
        <v>1093</v>
      </c>
      <c r="E856" s="36">
        <f>E12*2.91</f>
        <v>215.34</v>
      </c>
      <c r="F856" s="36">
        <f t="shared" si="56"/>
        <v>204.57300000000001</v>
      </c>
      <c r="G856" s="26">
        <f t="shared" si="57"/>
        <v>193.80600000000001</v>
      </c>
      <c r="H856" s="26">
        <f t="shared" si="58"/>
        <v>183.03899999999999</v>
      </c>
    </row>
    <row r="857" spans="1:8" x14ac:dyDescent="0.2">
      <c r="A857" s="31">
        <f t="shared" si="59"/>
        <v>843</v>
      </c>
      <c r="B857" s="9" t="s">
        <v>730</v>
      </c>
      <c r="C857" s="32"/>
      <c r="D857" s="1" t="s">
        <v>731</v>
      </c>
      <c r="E857" s="36">
        <f>E12*4</f>
        <v>296</v>
      </c>
      <c r="F857" s="36">
        <f t="shared" si="56"/>
        <v>281.2</v>
      </c>
      <c r="G857" s="26">
        <f t="shared" si="57"/>
        <v>266.39999999999998</v>
      </c>
      <c r="H857" s="26">
        <f t="shared" si="58"/>
        <v>251.6</v>
      </c>
    </row>
    <row r="858" spans="1:8" x14ac:dyDescent="0.2">
      <c r="A858" s="31">
        <f t="shared" si="59"/>
        <v>844</v>
      </c>
      <c r="B858" s="9" t="s">
        <v>602</v>
      </c>
      <c r="C858" s="32"/>
      <c r="D858" s="1" t="s">
        <v>601</v>
      </c>
      <c r="E858" s="36">
        <f>E12*6.95</f>
        <v>514.30000000000007</v>
      </c>
      <c r="F858" s="36">
        <f t="shared" si="56"/>
        <v>488.58500000000004</v>
      </c>
      <c r="G858" s="26">
        <f t="shared" si="57"/>
        <v>462.87000000000006</v>
      </c>
      <c r="H858" s="26">
        <f t="shared" si="58"/>
        <v>437.15500000000009</v>
      </c>
    </row>
    <row r="859" spans="1:8" x14ac:dyDescent="0.2">
      <c r="A859" s="31">
        <f t="shared" si="59"/>
        <v>845</v>
      </c>
      <c r="B859" s="9" t="s">
        <v>775</v>
      </c>
      <c r="C859" s="32"/>
      <c r="D859" s="1" t="s">
        <v>776</v>
      </c>
      <c r="E859" s="36">
        <f>E12*3.8</f>
        <v>281.2</v>
      </c>
      <c r="F859" s="36">
        <f t="shared" si="56"/>
        <v>267.14</v>
      </c>
      <c r="G859" s="26">
        <f t="shared" si="57"/>
        <v>253.07999999999998</v>
      </c>
      <c r="H859" s="26">
        <f t="shared" si="58"/>
        <v>239.01999999999998</v>
      </c>
    </row>
    <row r="860" spans="1:8" x14ac:dyDescent="0.2">
      <c r="A860" s="31">
        <f t="shared" si="59"/>
        <v>846</v>
      </c>
      <c r="B860" s="9" t="s">
        <v>734</v>
      </c>
      <c r="C860" s="32"/>
      <c r="D860" s="1" t="s">
        <v>30</v>
      </c>
      <c r="E860" s="36">
        <f>E12*4.22</f>
        <v>312.27999999999997</v>
      </c>
      <c r="F860" s="36">
        <f t="shared" si="56"/>
        <v>296.666</v>
      </c>
      <c r="G860" s="26">
        <f t="shared" si="57"/>
        <v>281.05199999999996</v>
      </c>
      <c r="H860" s="26">
        <f t="shared" si="58"/>
        <v>265.43799999999999</v>
      </c>
    </row>
    <row r="861" spans="1:8" x14ac:dyDescent="0.2">
      <c r="A861" s="31">
        <f t="shared" si="59"/>
        <v>847</v>
      </c>
      <c r="B861" s="9" t="s">
        <v>733</v>
      </c>
      <c r="C861" s="32"/>
      <c r="D861" s="1" t="s">
        <v>732</v>
      </c>
      <c r="E861" s="36">
        <f>E12*16.63</f>
        <v>1230.6199999999999</v>
      </c>
      <c r="F861" s="36">
        <f t="shared" si="56"/>
        <v>1169.0889999999999</v>
      </c>
      <c r="G861" s="26">
        <f t="shared" si="57"/>
        <v>1107.558</v>
      </c>
      <c r="H861" s="26">
        <f t="shared" si="58"/>
        <v>1046.0269999999998</v>
      </c>
    </row>
    <row r="862" spans="1:8" x14ac:dyDescent="0.2">
      <c r="A862" s="31">
        <f t="shared" si="59"/>
        <v>848</v>
      </c>
      <c r="B862" s="9" t="s">
        <v>774</v>
      </c>
      <c r="C862" s="32"/>
      <c r="D862" s="1" t="s">
        <v>920</v>
      </c>
      <c r="E862" s="36">
        <f>E12*4.2</f>
        <v>310.8</v>
      </c>
      <c r="F862" s="36">
        <f t="shared" si="56"/>
        <v>295.26</v>
      </c>
      <c r="G862" s="26">
        <f t="shared" si="57"/>
        <v>279.72000000000003</v>
      </c>
      <c r="H862" s="26">
        <f t="shared" si="58"/>
        <v>264.18</v>
      </c>
    </row>
    <row r="863" spans="1:8" x14ac:dyDescent="0.2">
      <c r="A863" s="31">
        <f t="shared" si="59"/>
        <v>849</v>
      </c>
      <c r="B863" s="9" t="s">
        <v>361</v>
      </c>
      <c r="C863" s="32"/>
      <c r="D863" s="1" t="s">
        <v>31</v>
      </c>
      <c r="E863" s="36">
        <f>E12*5.11</f>
        <v>378.14000000000004</v>
      </c>
      <c r="F863" s="36">
        <f t="shared" si="56"/>
        <v>359.23300000000006</v>
      </c>
      <c r="G863" s="26">
        <f t="shared" si="57"/>
        <v>340.32600000000002</v>
      </c>
      <c r="H863" s="26">
        <f t="shared" si="58"/>
        <v>321.41900000000004</v>
      </c>
    </row>
    <row r="864" spans="1:8" x14ac:dyDescent="0.2">
      <c r="A864" s="31">
        <f t="shared" si="59"/>
        <v>850</v>
      </c>
      <c r="B864" s="9" t="s">
        <v>576</v>
      </c>
      <c r="C864" s="32"/>
      <c r="D864" s="1" t="s">
        <v>921</v>
      </c>
      <c r="E864" s="36">
        <f>E12*6.37</f>
        <v>471.38</v>
      </c>
      <c r="F864" s="36">
        <f t="shared" si="56"/>
        <v>447.81099999999998</v>
      </c>
      <c r="G864" s="26">
        <f t="shared" si="57"/>
        <v>424.24199999999996</v>
      </c>
      <c r="H864" s="26">
        <f t="shared" si="58"/>
        <v>400.673</v>
      </c>
    </row>
    <row r="865" spans="1:8" x14ac:dyDescent="0.2">
      <c r="A865" s="31">
        <f t="shared" si="59"/>
        <v>851</v>
      </c>
      <c r="B865" s="9" t="s">
        <v>363</v>
      </c>
      <c r="C865" s="32"/>
      <c r="D865" s="1" t="s">
        <v>35</v>
      </c>
      <c r="E865" s="36">
        <f>E12*5.9</f>
        <v>436.6</v>
      </c>
      <c r="F865" s="36">
        <f t="shared" si="56"/>
        <v>414.77000000000004</v>
      </c>
      <c r="G865" s="26">
        <f t="shared" si="57"/>
        <v>392.94</v>
      </c>
      <c r="H865" s="26">
        <f t="shared" si="58"/>
        <v>371.11</v>
      </c>
    </row>
    <row r="866" spans="1:8" x14ac:dyDescent="0.2">
      <c r="A866" s="31">
        <f t="shared" si="59"/>
        <v>852</v>
      </c>
      <c r="B866" s="9" t="s">
        <v>191</v>
      </c>
      <c r="C866" s="32"/>
      <c r="D866" s="1" t="s">
        <v>32</v>
      </c>
      <c r="E866" s="36">
        <f>E12*5.5</f>
        <v>407</v>
      </c>
      <c r="F866" s="36">
        <f t="shared" si="56"/>
        <v>386.65</v>
      </c>
      <c r="G866" s="26">
        <f t="shared" si="57"/>
        <v>366.3</v>
      </c>
      <c r="H866" s="26">
        <f t="shared" si="58"/>
        <v>345.95</v>
      </c>
    </row>
    <row r="867" spans="1:8" x14ac:dyDescent="0.2">
      <c r="A867" s="31">
        <f t="shared" si="59"/>
        <v>853</v>
      </c>
      <c r="B867" s="9" t="s">
        <v>227</v>
      </c>
      <c r="C867" s="32"/>
      <c r="D867" s="1" t="s">
        <v>54</v>
      </c>
      <c r="E867" s="36">
        <f>E12*6.95</f>
        <v>514.30000000000007</v>
      </c>
      <c r="F867" s="36">
        <f t="shared" si="56"/>
        <v>488.58500000000004</v>
      </c>
      <c r="G867" s="26">
        <f t="shared" si="57"/>
        <v>462.87000000000006</v>
      </c>
      <c r="H867" s="26">
        <f t="shared" si="58"/>
        <v>437.15500000000009</v>
      </c>
    </row>
    <row r="868" spans="1:8" x14ac:dyDescent="0.2">
      <c r="A868" s="31">
        <f t="shared" si="59"/>
        <v>854</v>
      </c>
      <c r="B868" s="9" t="s">
        <v>1105</v>
      </c>
      <c r="C868" s="32"/>
      <c r="D868" s="1" t="s">
        <v>1103</v>
      </c>
      <c r="E868" s="36">
        <f>E12*36.4</f>
        <v>2693.6</v>
      </c>
      <c r="F868" s="36">
        <f t="shared" si="56"/>
        <v>2558.92</v>
      </c>
      <c r="G868" s="26">
        <f t="shared" si="57"/>
        <v>2424.2399999999998</v>
      </c>
      <c r="H868" s="26">
        <f t="shared" si="58"/>
        <v>2289.56</v>
      </c>
    </row>
    <row r="869" spans="1:8" x14ac:dyDescent="0.2">
      <c r="A869" s="31">
        <f t="shared" si="59"/>
        <v>855</v>
      </c>
      <c r="B869" s="9" t="s">
        <v>1120</v>
      </c>
      <c r="C869" s="32"/>
      <c r="D869" s="1" t="s">
        <v>1119</v>
      </c>
      <c r="E869" s="36">
        <f>E12*38.22</f>
        <v>2828.2799999999997</v>
      </c>
      <c r="F869" s="36">
        <f t="shared" si="56"/>
        <v>2686.866</v>
      </c>
      <c r="G869" s="26">
        <f t="shared" si="57"/>
        <v>2545.4519999999998</v>
      </c>
      <c r="H869" s="26">
        <f t="shared" si="58"/>
        <v>2404.0379999999996</v>
      </c>
    </row>
    <row r="870" spans="1:8" x14ac:dyDescent="0.2">
      <c r="A870" s="31">
        <f t="shared" si="59"/>
        <v>856</v>
      </c>
      <c r="B870" s="9" t="s">
        <v>572</v>
      </c>
      <c r="C870" s="32"/>
      <c r="D870" s="1" t="s">
        <v>34</v>
      </c>
      <c r="E870" s="36">
        <f>E12*7.3</f>
        <v>540.19999999999993</v>
      </c>
      <c r="F870" s="36">
        <f t="shared" si="56"/>
        <v>513.18999999999994</v>
      </c>
      <c r="G870" s="26">
        <f t="shared" si="57"/>
        <v>486.17999999999995</v>
      </c>
      <c r="H870" s="26">
        <f t="shared" si="58"/>
        <v>459.16999999999996</v>
      </c>
    </row>
    <row r="871" spans="1:8" x14ac:dyDescent="0.2">
      <c r="A871" s="31">
        <f t="shared" si="59"/>
        <v>857</v>
      </c>
      <c r="B871" s="9" t="s">
        <v>621</v>
      </c>
      <c r="C871" s="32"/>
      <c r="D871" s="1" t="s">
        <v>15</v>
      </c>
      <c r="E871" s="36">
        <f>E12*5.65</f>
        <v>418.1</v>
      </c>
      <c r="F871" s="36">
        <f t="shared" si="56"/>
        <v>397.19500000000005</v>
      </c>
      <c r="G871" s="26">
        <f t="shared" si="57"/>
        <v>376.29</v>
      </c>
      <c r="H871" s="26">
        <f t="shared" si="58"/>
        <v>355.38499999999999</v>
      </c>
    </row>
    <row r="872" spans="1:8" x14ac:dyDescent="0.2">
      <c r="A872" s="31">
        <f t="shared" si="59"/>
        <v>858</v>
      </c>
      <c r="B872" s="9" t="s">
        <v>599</v>
      </c>
      <c r="C872" s="32"/>
      <c r="D872" s="1" t="s">
        <v>33</v>
      </c>
      <c r="E872" s="36">
        <f>E12*6.05</f>
        <v>447.7</v>
      </c>
      <c r="F872" s="36">
        <f t="shared" si="56"/>
        <v>425.315</v>
      </c>
      <c r="G872" s="26">
        <f t="shared" si="57"/>
        <v>402.93</v>
      </c>
      <c r="H872" s="26">
        <f t="shared" si="58"/>
        <v>380.54499999999996</v>
      </c>
    </row>
    <row r="873" spans="1:8" x14ac:dyDescent="0.2">
      <c r="A873" s="31">
        <f t="shared" si="59"/>
        <v>859</v>
      </c>
      <c r="B873" s="9" t="s">
        <v>573</v>
      </c>
      <c r="C873" s="32"/>
      <c r="D873" s="1" t="s">
        <v>145</v>
      </c>
      <c r="E873" s="36">
        <f>E12*9.95</f>
        <v>736.3</v>
      </c>
      <c r="F873" s="36">
        <f t="shared" si="56"/>
        <v>699.4849999999999</v>
      </c>
      <c r="G873" s="26">
        <f t="shared" si="57"/>
        <v>662.67</v>
      </c>
      <c r="H873" s="26">
        <f t="shared" si="58"/>
        <v>625.85500000000002</v>
      </c>
    </row>
    <row r="874" spans="1:8" x14ac:dyDescent="0.2">
      <c r="A874" s="31">
        <f t="shared" si="59"/>
        <v>860</v>
      </c>
      <c r="B874" s="9" t="s">
        <v>468</v>
      </c>
      <c r="C874" s="32"/>
      <c r="D874" s="1" t="s">
        <v>36</v>
      </c>
      <c r="E874" s="36">
        <f>E12*9.75</f>
        <v>721.5</v>
      </c>
      <c r="F874" s="36">
        <f t="shared" si="56"/>
        <v>685.42499999999995</v>
      </c>
      <c r="G874" s="26">
        <f t="shared" si="57"/>
        <v>649.35</v>
      </c>
      <c r="H874" s="26">
        <f t="shared" si="58"/>
        <v>613.27499999999998</v>
      </c>
    </row>
    <row r="875" spans="1:8" x14ac:dyDescent="0.2">
      <c r="A875" s="31">
        <f t="shared" si="59"/>
        <v>861</v>
      </c>
      <c r="B875" s="9" t="s">
        <v>192</v>
      </c>
      <c r="C875" s="32" t="s">
        <v>1918</v>
      </c>
      <c r="D875" s="1" t="s">
        <v>1915</v>
      </c>
      <c r="E875" s="36">
        <f>E12*21.85</f>
        <v>1616.9</v>
      </c>
      <c r="F875" s="36">
        <f t="shared" si="56"/>
        <v>1536.0550000000001</v>
      </c>
      <c r="G875" s="26">
        <f t="shared" si="57"/>
        <v>1455.21</v>
      </c>
      <c r="H875" s="26">
        <f t="shared" si="58"/>
        <v>1374.365</v>
      </c>
    </row>
    <row r="876" spans="1:8" x14ac:dyDescent="0.2">
      <c r="A876" s="31">
        <f t="shared" si="59"/>
        <v>862</v>
      </c>
      <c r="B876" s="11" t="s">
        <v>1241</v>
      </c>
      <c r="C876" s="11" t="s">
        <v>1917</v>
      </c>
      <c r="D876" s="1" t="s">
        <v>1916</v>
      </c>
      <c r="E876" s="36">
        <f>E12*21.85</f>
        <v>1616.9</v>
      </c>
      <c r="F876" s="36">
        <f t="shared" si="56"/>
        <v>1536.0550000000001</v>
      </c>
      <c r="G876" s="26">
        <f t="shared" si="57"/>
        <v>1455.21</v>
      </c>
      <c r="H876" s="26">
        <f t="shared" si="58"/>
        <v>1374.365</v>
      </c>
    </row>
    <row r="877" spans="1:8" x14ac:dyDescent="0.2">
      <c r="A877" s="31">
        <f t="shared" si="59"/>
        <v>863</v>
      </c>
      <c r="B877" s="11" t="s">
        <v>1123</v>
      </c>
      <c r="C877" s="11">
        <v>51018047037</v>
      </c>
      <c r="D877" s="1" t="s">
        <v>1919</v>
      </c>
      <c r="E877" s="36">
        <f>E12*31.85</f>
        <v>2356.9</v>
      </c>
      <c r="F877" s="36">
        <f t="shared" si="56"/>
        <v>2239.0550000000003</v>
      </c>
      <c r="G877" s="26">
        <f t="shared" si="57"/>
        <v>2121.21</v>
      </c>
      <c r="H877" s="26">
        <f t="shared" si="58"/>
        <v>2003.365</v>
      </c>
    </row>
    <row r="878" spans="1:8" x14ac:dyDescent="0.2">
      <c r="A878" s="31">
        <f t="shared" si="59"/>
        <v>864</v>
      </c>
      <c r="B878" s="9" t="s">
        <v>334</v>
      </c>
      <c r="C878" s="32" t="s">
        <v>1921</v>
      </c>
      <c r="D878" s="1" t="s">
        <v>1920</v>
      </c>
      <c r="E878" s="36">
        <f>E12*253.5</f>
        <v>18759</v>
      </c>
      <c r="F878" s="36">
        <f t="shared" si="56"/>
        <v>17821.05</v>
      </c>
      <c r="G878" s="26">
        <f t="shared" si="57"/>
        <v>16883.099999999999</v>
      </c>
      <c r="H878" s="26">
        <f t="shared" si="58"/>
        <v>15945.15</v>
      </c>
    </row>
    <row r="879" spans="1:8" x14ac:dyDescent="0.2">
      <c r="A879" s="31">
        <f t="shared" si="59"/>
        <v>865</v>
      </c>
      <c r="B879" s="9" t="s">
        <v>469</v>
      </c>
      <c r="C879" s="32" t="s">
        <v>1923</v>
      </c>
      <c r="D879" s="1" t="s">
        <v>1922</v>
      </c>
      <c r="E879" s="36">
        <f>E12*230</f>
        <v>17020</v>
      </c>
      <c r="F879" s="36">
        <f t="shared" ref="F879:F949" si="60">E879-E879*5%</f>
        <v>16169</v>
      </c>
      <c r="G879" s="26">
        <f t="shared" ref="G879:G949" si="61">E879-E879*10%</f>
        <v>15318</v>
      </c>
      <c r="H879" s="26">
        <f t="shared" ref="H879:H949" si="62">E879-E879*15%</f>
        <v>14467</v>
      </c>
    </row>
    <row r="880" spans="1:8" x14ac:dyDescent="0.2">
      <c r="A880" s="31">
        <f t="shared" si="59"/>
        <v>866</v>
      </c>
      <c r="B880" s="9" t="s">
        <v>1117</v>
      </c>
      <c r="C880" s="32">
        <v>36437150000</v>
      </c>
      <c r="D880" s="1" t="s">
        <v>1924</v>
      </c>
      <c r="E880" s="36">
        <f>E12*254.8</f>
        <v>18855.2</v>
      </c>
      <c r="F880" s="36">
        <f t="shared" si="60"/>
        <v>17912.440000000002</v>
      </c>
      <c r="G880" s="26">
        <f t="shared" si="61"/>
        <v>16969.68</v>
      </c>
      <c r="H880" s="26">
        <f t="shared" si="62"/>
        <v>16026.92</v>
      </c>
    </row>
    <row r="881" spans="1:8" x14ac:dyDescent="0.2">
      <c r="A881" s="31">
        <f t="shared" si="59"/>
        <v>867</v>
      </c>
      <c r="B881" s="9" t="s">
        <v>367</v>
      </c>
      <c r="C881" s="32" t="s">
        <v>1926</v>
      </c>
      <c r="D881" s="1" t="s">
        <v>1925</v>
      </c>
      <c r="E881" s="36">
        <f>E12*207.5</f>
        <v>15355</v>
      </c>
      <c r="F881" s="36">
        <f t="shared" si="60"/>
        <v>14587.25</v>
      </c>
      <c r="G881" s="26">
        <f t="shared" si="61"/>
        <v>13819.5</v>
      </c>
      <c r="H881" s="26">
        <f t="shared" si="62"/>
        <v>13051.75</v>
      </c>
    </row>
    <row r="882" spans="1:8" x14ac:dyDescent="0.2">
      <c r="A882" s="31">
        <f t="shared" si="59"/>
        <v>868</v>
      </c>
      <c r="B882" s="9" t="s">
        <v>243</v>
      </c>
      <c r="C882" s="32">
        <v>3013230065</v>
      </c>
      <c r="D882" s="1" t="s">
        <v>1927</v>
      </c>
      <c r="E882" s="36">
        <v>9638</v>
      </c>
      <c r="F882" s="36">
        <f t="shared" si="60"/>
        <v>9156.1</v>
      </c>
      <c r="G882" s="26">
        <f t="shared" si="61"/>
        <v>8674.2000000000007</v>
      </c>
      <c r="H882" s="26">
        <f t="shared" si="62"/>
        <v>8192.2999999999993</v>
      </c>
    </row>
    <row r="883" spans="1:8" x14ac:dyDescent="0.2">
      <c r="A883" s="31">
        <f t="shared" si="59"/>
        <v>869</v>
      </c>
      <c r="B883" s="9" t="s">
        <v>493</v>
      </c>
      <c r="C883" s="32">
        <v>3563200311</v>
      </c>
      <c r="D883" s="1" t="s">
        <v>1928</v>
      </c>
      <c r="E883" s="36">
        <f>E12*204.9</f>
        <v>15162.6</v>
      </c>
      <c r="F883" s="36">
        <f t="shared" si="60"/>
        <v>14404.470000000001</v>
      </c>
      <c r="G883" s="26">
        <f t="shared" si="61"/>
        <v>13646.34</v>
      </c>
      <c r="H883" s="26">
        <f t="shared" si="62"/>
        <v>12888.210000000001</v>
      </c>
    </row>
    <row r="884" spans="1:8" x14ac:dyDescent="0.2">
      <c r="A884" s="31">
        <f t="shared" si="59"/>
        <v>870</v>
      </c>
      <c r="B884" s="9" t="s">
        <v>814</v>
      </c>
      <c r="C884" s="32">
        <v>81437156064</v>
      </c>
      <c r="D884" s="1" t="s">
        <v>1929</v>
      </c>
      <c r="E884" s="36">
        <f>E12*238</f>
        <v>17612</v>
      </c>
      <c r="F884" s="36">
        <f t="shared" si="60"/>
        <v>16731.400000000001</v>
      </c>
      <c r="G884" s="26">
        <f t="shared" si="61"/>
        <v>15850.8</v>
      </c>
      <c r="H884" s="26">
        <f t="shared" si="62"/>
        <v>14970.2</v>
      </c>
    </row>
    <row r="885" spans="1:8" x14ac:dyDescent="0.2">
      <c r="A885" s="31">
        <f t="shared" si="59"/>
        <v>871</v>
      </c>
      <c r="B885" s="9" t="s">
        <v>1143</v>
      </c>
      <c r="C885" s="32">
        <v>6293230365</v>
      </c>
      <c r="D885" s="1" t="s">
        <v>1930</v>
      </c>
      <c r="E885" s="36">
        <f>E12*236.6</f>
        <v>17508.399999999998</v>
      </c>
      <c r="F885" s="36">
        <f t="shared" si="60"/>
        <v>16632.98</v>
      </c>
      <c r="G885" s="26">
        <f t="shared" si="61"/>
        <v>15757.559999999998</v>
      </c>
      <c r="H885" s="26">
        <f t="shared" si="62"/>
        <v>14882.139999999998</v>
      </c>
    </row>
    <row r="886" spans="1:8" x14ac:dyDescent="0.2">
      <c r="A886" s="31">
        <f t="shared" si="59"/>
        <v>872</v>
      </c>
      <c r="B886" s="9" t="s">
        <v>1127</v>
      </c>
      <c r="C886" s="32">
        <v>6283260265</v>
      </c>
      <c r="D886" s="1" t="s">
        <v>1931</v>
      </c>
      <c r="E886" s="36">
        <f>E12*245.7</f>
        <v>18181.8</v>
      </c>
      <c r="F886" s="36">
        <f t="shared" si="60"/>
        <v>17272.71</v>
      </c>
      <c r="G886" s="26">
        <f t="shared" si="61"/>
        <v>16363.619999999999</v>
      </c>
      <c r="H886" s="26">
        <f t="shared" si="62"/>
        <v>15454.529999999999</v>
      </c>
    </row>
    <row r="887" spans="1:8" s="29" customFormat="1" x14ac:dyDescent="0.2">
      <c r="A887" s="31">
        <f t="shared" si="59"/>
        <v>873</v>
      </c>
      <c r="B887" s="32" t="s">
        <v>1260</v>
      </c>
      <c r="C887" s="32">
        <v>6283230065</v>
      </c>
      <c r="D887" s="30" t="s">
        <v>1932</v>
      </c>
      <c r="E887" s="36">
        <f>E12*240.83</f>
        <v>17821.420000000002</v>
      </c>
      <c r="F887" s="36">
        <f t="shared" si="60"/>
        <v>16930.349000000002</v>
      </c>
      <c r="G887" s="26">
        <f t="shared" si="61"/>
        <v>16039.278000000002</v>
      </c>
      <c r="H887" s="26">
        <f t="shared" si="62"/>
        <v>15148.207000000002</v>
      </c>
    </row>
    <row r="888" spans="1:8" s="29" customFormat="1" x14ac:dyDescent="0.2">
      <c r="A888" s="31">
        <f t="shared" si="59"/>
        <v>874</v>
      </c>
      <c r="B888" s="32">
        <v>141056</v>
      </c>
      <c r="C888" s="32">
        <v>6293260165</v>
      </c>
      <c r="D888" s="30" t="s">
        <v>1627</v>
      </c>
      <c r="E888" s="36">
        <f>E12*433</f>
        <v>32042</v>
      </c>
      <c r="F888" s="36">
        <f t="shared" si="60"/>
        <v>30439.9</v>
      </c>
      <c r="G888" s="26">
        <f t="shared" si="61"/>
        <v>28837.8</v>
      </c>
      <c r="H888" s="26">
        <f t="shared" si="62"/>
        <v>27235.7</v>
      </c>
    </row>
    <row r="889" spans="1:8" s="29" customFormat="1" x14ac:dyDescent="0.2">
      <c r="A889" s="31">
        <f t="shared" si="59"/>
        <v>875</v>
      </c>
      <c r="B889" s="32">
        <v>141005</v>
      </c>
      <c r="C889" s="32">
        <v>81437150091</v>
      </c>
      <c r="D889" s="30" t="s">
        <v>1628</v>
      </c>
      <c r="E889" s="36">
        <f>E12*360</f>
        <v>26640</v>
      </c>
      <c r="F889" s="36">
        <f t="shared" si="60"/>
        <v>25308</v>
      </c>
      <c r="G889" s="26">
        <f t="shared" si="61"/>
        <v>23976</v>
      </c>
      <c r="H889" s="26">
        <f t="shared" si="62"/>
        <v>22644</v>
      </c>
    </row>
    <row r="890" spans="1:8" s="29" customFormat="1" x14ac:dyDescent="0.2">
      <c r="A890" s="31">
        <f t="shared" si="59"/>
        <v>876</v>
      </c>
      <c r="B890" s="32">
        <v>156016</v>
      </c>
      <c r="C890" s="32">
        <v>6293230365</v>
      </c>
      <c r="D890" s="30" t="s">
        <v>1629</v>
      </c>
      <c r="E890" s="36">
        <f>E12*236</f>
        <v>17464</v>
      </c>
      <c r="F890" s="36">
        <f t="shared" si="60"/>
        <v>16590.8</v>
      </c>
      <c r="G890" s="26">
        <f t="shared" si="61"/>
        <v>15717.6</v>
      </c>
      <c r="H890" s="26">
        <f t="shared" si="62"/>
        <v>14844.4</v>
      </c>
    </row>
    <row r="891" spans="1:8" x14ac:dyDescent="0.2">
      <c r="A891" s="31">
        <f t="shared" si="59"/>
        <v>877</v>
      </c>
      <c r="B891" s="9" t="s">
        <v>72</v>
      </c>
      <c r="C891" s="32"/>
      <c r="D891" s="1" t="s">
        <v>1933</v>
      </c>
      <c r="E891" s="36">
        <f>E12*2.65</f>
        <v>196.1</v>
      </c>
      <c r="F891" s="36">
        <f t="shared" si="60"/>
        <v>186.29499999999999</v>
      </c>
      <c r="G891" s="26">
        <f t="shared" si="61"/>
        <v>176.49</v>
      </c>
      <c r="H891" s="26">
        <f t="shared" si="62"/>
        <v>166.685</v>
      </c>
    </row>
    <row r="892" spans="1:8" x14ac:dyDescent="0.2">
      <c r="A892" s="31">
        <f t="shared" si="59"/>
        <v>878</v>
      </c>
      <c r="B892" s="9" t="s">
        <v>74</v>
      </c>
      <c r="C892" s="32"/>
      <c r="D892" s="1" t="s">
        <v>73</v>
      </c>
      <c r="E892" s="36">
        <f>E12*1.8</f>
        <v>133.20000000000002</v>
      </c>
      <c r="F892" s="36">
        <f t="shared" si="60"/>
        <v>126.54000000000002</v>
      </c>
      <c r="G892" s="26">
        <f t="shared" si="61"/>
        <v>119.88000000000001</v>
      </c>
      <c r="H892" s="26">
        <f t="shared" si="62"/>
        <v>113.22000000000001</v>
      </c>
    </row>
    <row r="893" spans="1:8" x14ac:dyDescent="0.2">
      <c r="A893" s="31">
        <f t="shared" si="59"/>
        <v>879</v>
      </c>
      <c r="B893" s="9" t="s">
        <v>226</v>
      </c>
      <c r="C893" s="32"/>
      <c r="D893" s="1" t="s">
        <v>1934</v>
      </c>
      <c r="E893" s="36">
        <f>E12*1.83</f>
        <v>135.42000000000002</v>
      </c>
      <c r="F893" s="36">
        <f t="shared" si="60"/>
        <v>128.649</v>
      </c>
      <c r="G893" s="26">
        <f t="shared" si="61"/>
        <v>121.87800000000001</v>
      </c>
      <c r="H893" s="26">
        <f t="shared" si="62"/>
        <v>115.10700000000001</v>
      </c>
    </row>
    <row r="894" spans="1:8" x14ac:dyDescent="0.2">
      <c r="A894" s="31">
        <f t="shared" si="59"/>
        <v>880</v>
      </c>
      <c r="B894" s="9" t="s">
        <v>225</v>
      </c>
      <c r="C894" s="32"/>
      <c r="D894" s="1" t="s">
        <v>1935</v>
      </c>
      <c r="E894" s="36">
        <f>E12*1.83</f>
        <v>135.42000000000002</v>
      </c>
      <c r="F894" s="36">
        <f t="shared" si="60"/>
        <v>128.649</v>
      </c>
      <c r="G894" s="26">
        <f t="shared" si="61"/>
        <v>121.87800000000001</v>
      </c>
      <c r="H894" s="26">
        <f t="shared" si="62"/>
        <v>115.10700000000001</v>
      </c>
    </row>
    <row r="895" spans="1:8" x14ac:dyDescent="0.2">
      <c r="A895" s="31">
        <f t="shared" si="59"/>
        <v>881</v>
      </c>
      <c r="B895" s="9" t="s">
        <v>81</v>
      </c>
      <c r="C895" s="32" t="s">
        <v>1937</v>
      </c>
      <c r="D895" s="1" t="s">
        <v>1936</v>
      </c>
      <c r="E895" s="36">
        <f>E12*12.59</f>
        <v>931.66</v>
      </c>
      <c r="F895" s="36">
        <f t="shared" si="60"/>
        <v>885.077</v>
      </c>
      <c r="G895" s="26">
        <f t="shared" si="61"/>
        <v>838.49399999999991</v>
      </c>
      <c r="H895" s="26">
        <f t="shared" si="62"/>
        <v>791.91099999999994</v>
      </c>
    </row>
    <row r="896" spans="1:8" s="29" customFormat="1" x14ac:dyDescent="0.2">
      <c r="A896" s="31">
        <f t="shared" si="59"/>
        <v>882</v>
      </c>
      <c r="B896" s="32">
        <v>170528</v>
      </c>
      <c r="C896" s="32" t="s">
        <v>1939</v>
      </c>
      <c r="D896" s="30" t="s">
        <v>1938</v>
      </c>
      <c r="E896" s="36">
        <f>E12*12.59</f>
        <v>931.66</v>
      </c>
      <c r="F896" s="36"/>
      <c r="G896" s="26"/>
      <c r="H896" s="26"/>
    </row>
    <row r="897" spans="1:8" x14ac:dyDescent="0.2">
      <c r="A897" s="31">
        <f t="shared" si="59"/>
        <v>883</v>
      </c>
      <c r="B897" s="9" t="s">
        <v>151</v>
      </c>
      <c r="C897" s="32">
        <v>6718200061</v>
      </c>
      <c r="D897" s="1" t="s">
        <v>1940</v>
      </c>
      <c r="E897" s="36">
        <f>E12*17.83</f>
        <v>1319.4199999999998</v>
      </c>
      <c r="F897" s="36">
        <f t="shared" si="60"/>
        <v>1253.4489999999998</v>
      </c>
      <c r="G897" s="26">
        <f t="shared" si="61"/>
        <v>1187.4779999999998</v>
      </c>
      <c r="H897" s="26">
        <f t="shared" si="62"/>
        <v>1121.5069999999998</v>
      </c>
    </row>
    <row r="898" spans="1:8" x14ac:dyDescent="0.2">
      <c r="A898" s="31">
        <f t="shared" si="59"/>
        <v>884</v>
      </c>
      <c r="B898" s="9" t="s">
        <v>1000</v>
      </c>
      <c r="C898" s="32">
        <v>6138200161</v>
      </c>
      <c r="D898" s="1" t="s">
        <v>1941</v>
      </c>
      <c r="E898" s="36">
        <f>E12*17.83</f>
        <v>1319.4199999999998</v>
      </c>
      <c r="F898" s="36">
        <f t="shared" si="60"/>
        <v>1253.4489999999998</v>
      </c>
      <c r="G898" s="26">
        <f t="shared" si="61"/>
        <v>1187.4779999999998</v>
      </c>
      <c r="H898" s="26">
        <f t="shared" si="62"/>
        <v>1121.5069999999998</v>
      </c>
    </row>
    <row r="899" spans="1:8" x14ac:dyDescent="0.2">
      <c r="A899" s="31">
        <f t="shared" si="59"/>
        <v>885</v>
      </c>
      <c r="B899" s="9" t="s">
        <v>82</v>
      </c>
      <c r="C899" s="32">
        <v>6718200161</v>
      </c>
      <c r="D899" s="1" t="s">
        <v>1942</v>
      </c>
      <c r="E899" s="36">
        <f>E12*10.3</f>
        <v>762.2</v>
      </c>
      <c r="F899" s="36">
        <f t="shared" si="60"/>
        <v>724.09</v>
      </c>
      <c r="G899" s="26">
        <f t="shared" si="61"/>
        <v>685.98</v>
      </c>
      <c r="H899" s="26">
        <f t="shared" si="62"/>
        <v>647.87</v>
      </c>
    </row>
    <row r="900" spans="1:8" x14ac:dyDescent="0.2">
      <c r="A900" s="31">
        <f t="shared" si="59"/>
        <v>886</v>
      </c>
      <c r="B900" s="9" t="s">
        <v>83</v>
      </c>
      <c r="C900" s="32">
        <v>6138200061</v>
      </c>
      <c r="D900" s="1" t="s">
        <v>1943</v>
      </c>
      <c r="E900" s="36">
        <f>E12*10.3</f>
        <v>762.2</v>
      </c>
      <c r="F900" s="36">
        <f t="shared" si="60"/>
        <v>724.09</v>
      </c>
      <c r="G900" s="26">
        <f t="shared" si="61"/>
        <v>685.98</v>
      </c>
      <c r="H900" s="26">
        <f t="shared" si="62"/>
        <v>647.87</v>
      </c>
    </row>
    <row r="901" spans="1:8" x14ac:dyDescent="0.2">
      <c r="A901" s="31">
        <f t="shared" si="59"/>
        <v>887</v>
      </c>
      <c r="B901" s="9" t="s">
        <v>900</v>
      </c>
      <c r="C901" s="32" t="s">
        <v>1945</v>
      </c>
      <c r="D901" s="1" t="s">
        <v>1944</v>
      </c>
      <c r="E901" s="36">
        <f>E12*10.56</f>
        <v>781.44</v>
      </c>
      <c r="F901" s="36">
        <f t="shared" si="60"/>
        <v>742.36800000000005</v>
      </c>
      <c r="G901" s="26">
        <f t="shared" si="61"/>
        <v>703.29600000000005</v>
      </c>
      <c r="H901" s="26">
        <f t="shared" si="62"/>
        <v>664.22400000000005</v>
      </c>
    </row>
    <row r="902" spans="1:8" x14ac:dyDescent="0.2">
      <c r="A902" s="31">
        <f t="shared" si="59"/>
        <v>888</v>
      </c>
      <c r="B902" s="9" t="s">
        <v>901</v>
      </c>
      <c r="C902" s="32" t="s">
        <v>1947</v>
      </c>
      <c r="D902" s="1" t="s">
        <v>1946</v>
      </c>
      <c r="E902" s="36">
        <f>E12*10.56</f>
        <v>781.44</v>
      </c>
      <c r="F902" s="36">
        <f t="shared" si="60"/>
        <v>742.36800000000005</v>
      </c>
      <c r="G902" s="26">
        <f t="shared" si="61"/>
        <v>703.29600000000005</v>
      </c>
      <c r="H902" s="26">
        <f t="shared" si="62"/>
        <v>664.22400000000005</v>
      </c>
    </row>
    <row r="903" spans="1:8" x14ac:dyDescent="0.2">
      <c r="A903" s="31">
        <f t="shared" si="59"/>
        <v>889</v>
      </c>
      <c r="B903" s="9" t="s">
        <v>816</v>
      </c>
      <c r="C903" s="32"/>
      <c r="D903" s="1" t="s">
        <v>1948</v>
      </c>
      <c r="E903" s="36">
        <f>E12*9.11</f>
        <v>674.14</v>
      </c>
      <c r="F903" s="36">
        <f t="shared" si="60"/>
        <v>640.43299999999999</v>
      </c>
      <c r="G903" s="26">
        <f t="shared" si="61"/>
        <v>606.726</v>
      </c>
      <c r="H903" s="26">
        <f t="shared" si="62"/>
        <v>573.01900000000001</v>
      </c>
    </row>
    <row r="904" spans="1:8" x14ac:dyDescent="0.2">
      <c r="A904" s="31">
        <f t="shared" si="59"/>
        <v>890</v>
      </c>
      <c r="B904" s="9" t="s">
        <v>232</v>
      </c>
      <c r="C904" s="32" t="s">
        <v>1950</v>
      </c>
      <c r="D904" s="1" t="s">
        <v>1949</v>
      </c>
      <c r="E904" s="36">
        <f>E12*32.76</f>
        <v>2424.2399999999998</v>
      </c>
      <c r="F904" s="36">
        <f t="shared" si="60"/>
        <v>2303.0279999999998</v>
      </c>
      <c r="G904" s="26">
        <f t="shared" si="61"/>
        <v>2181.8159999999998</v>
      </c>
      <c r="H904" s="26">
        <f t="shared" si="62"/>
        <v>2060.6039999999998</v>
      </c>
    </row>
    <row r="905" spans="1:8" x14ac:dyDescent="0.2">
      <c r="A905" s="31">
        <f t="shared" si="59"/>
        <v>891</v>
      </c>
      <c r="B905" s="9" t="s">
        <v>1019</v>
      </c>
      <c r="C905" s="32" t="s">
        <v>1952</v>
      </c>
      <c r="D905" s="1" t="s">
        <v>1951</v>
      </c>
      <c r="E905" s="36">
        <f>E12*34.3</f>
        <v>2538.1999999999998</v>
      </c>
      <c r="F905" s="36">
        <f t="shared" si="60"/>
        <v>2411.29</v>
      </c>
      <c r="G905" s="26">
        <f t="shared" si="61"/>
        <v>2284.3799999999997</v>
      </c>
      <c r="H905" s="26">
        <f t="shared" si="62"/>
        <v>2157.4699999999998</v>
      </c>
    </row>
    <row r="906" spans="1:8" x14ac:dyDescent="0.2">
      <c r="A906" s="31">
        <f t="shared" si="59"/>
        <v>892</v>
      </c>
      <c r="B906" s="9" t="s">
        <v>935</v>
      </c>
      <c r="C906" s="32">
        <v>3563200089</v>
      </c>
      <c r="D906" s="1" t="s">
        <v>1953</v>
      </c>
      <c r="E906" s="36">
        <f>E12*20.02</f>
        <v>1481.48</v>
      </c>
      <c r="F906" s="36">
        <f t="shared" si="60"/>
        <v>1407.4059999999999</v>
      </c>
      <c r="G906" s="26">
        <f t="shared" si="61"/>
        <v>1333.3320000000001</v>
      </c>
      <c r="H906" s="26">
        <f t="shared" si="62"/>
        <v>1259.258</v>
      </c>
    </row>
    <row r="907" spans="1:8" x14ac:dyDescent="0.2">
      <c r="A907" s="31">
        <f t="shared" si="59"/>
        <v>893</v>
      </c>
      <c r="B907" s="9" t="s">
        <v>1113</v>
      </c>
      <c r="C907" s="32">
        <v>82262500000</v>
      </c>
      <c r="D907" s="1" t="s">
        <v>1954</v>
      </c>
      <c r="E907" s="36">
        <f>E12*50</f>
        <v>3700</v>
      </c>
      <c r="F907" s="36">
        <f t="shared" si="60"/>
        <v>3515</v>
      </c>
      <c r="G907" s="26">
        <f t="shared" si="61"/>
        <v>3330</v>
      </c>
      <c r="H907" s="26">
        <f t="shared" si="62"/>
        <v>3145</v>
      </c>
    </row>
    <row r="908" spans="1:8" x14ac:dyDescent="0.2">
      <c r="A908" s="31">
        <f t="shared" si="59"/>
        <v>894</v>
      </c>
      <c r="B908" s="9" t="s">
        <v>1114</v>
      </c>
      <c r="C908" s="32">
        <v>82262490000</v>
      </c>
      <c r="D908" s="1" t="s">
        <v>1955</v>
      </c>
      <c r="E908" s="36">
        <f>E12*52</f>
        <v>3848</v>
      </c>
      <c r="F908" s="36">
        <f t="shared" si="60"/>
        <v>3655.6</v>
      </c>
      <c r="G908" s="26">
        <f t="shared" si="61"/>
        <v>3463.2</v>
      </c>
      <c r="H908" s="26">
        <f t="shared" si="62"/>
        <v>3270.8</v>
      </c>
    </row>
    <row r="909" spans="1:8" s="29" customFormat="1" x14ac:dyDescent="0.2">
      <c r="A909" s="31">
        <f t="shared" si="59"/>
        <v>895</v>
      </c>
      <c r="B909" s="32" t="s">
        <v>1626</v>
      </c>
      <c r="C909" s="32">
        <v>6323200232</v>
      </c>
      <c r="D909" s="30" t="s">
        <v>1625</v>
      </c>
      <c r="E909" s="36">
        <f>E12*38.64</f>
        <v>2859.36</v>
      </c>
      <c r="F909" s="36">
        <f t="shared" si="60"/>
        <v>2716.3920000000003</v>
      </c>
      <c r="G909" s="26">
        <f t="shared" si="61"/>
        <v>2573.424</v>
      </c>
      <c r="H909" s="26">
        <f t="shared" si="62"/>
        <v>2430.4560000000001</v>
      </c>
    </row>
    <row r="910" spans="1:8" x14ac:dyDescent="0.2">
      <c r="A910" s="31">
        <f t="shared" si="59"/>
        <v>896</v>
      </c>
      <c r="B910" s="9" t="s">
        <v>936</v>
      </c>
      <c r="C910" s="32" t="s">
        <v>1956</v>
      </c>
      <c r="D910" s="1" t="s">
        <v>2044</v>
      </c>
      <c r="E910" s="36">
        <f>E12*62.31</f>
        <v>4610.9400000000005</v>
      </c>
      <c r="F910" s="36">
        <f t="shared" si="60"/>
        <v>4380.393</v>
      </c>
      <c r="G910" s="26">
        <f t="shared" si="61"/>
        <v>4149.8460000000005</v>
      </c>
      <c r="H910" s="26">
        <f t="shared" si="62"/>
        <v>3919.2990000000004</v>
      </c>
    </row>
    <row r="911" spans="1:8" s="29" customFormat="1" x14ac:dyDescent="0.2">
      <c r="A911" s="31">
        <f t="shared" si="59"/>
        <v>897</v>
      </c>
      <c r="B911" s="32">
        <v>155302</v>
      </c>
      <c r="C911" s="32">
        <v>6323200332</v>
      </c>
      <c r="D911" s="30" t="s">
        <v>2045</v>
      </c>
      <c r="E911" s="36">
        <f>E12*39.1</f>
        <v>2893.4</v>
      </c>
      <c r="F911" s="36">
        <f t="shared" si="60"/>
        <v>2748.73</v>
      </c>
      <c r="G911" s="26">
        <f t="shared" si="61"/>
        <v>2604.06</v>
      </c>
      <c r="H911" s="26">
        <f t="shared" si="62"/>
        <v>2459.3900000000003</v>
      </c>
    </row>
    <row r="912" spans="1:8" s="29" customFormat="1" x14ac:dyDescent="0.2">
      <c r="A912" s="31">
        <f t="shared" si="59"/>
        <v>898</v>
      </c>
      <c r="B912" s="32" t="s">
        <v>2601</v>
      </c>
      <c r="C912" s="32" t="s">
        <v>2630</v>
      </c>
      <c r="D912" s="30" t="s">
        <v>2629</v>
      </c>
      <c r="E912" s="36">
        <f>E12*39.1</f>
        <v>2893.4</v>
      </c>
      <c r="F912" s="36">
        <f t="shared" si="60"/>
        <v>2748.73</v>
      </c>
      <c r="G912" s="26">
        <f t="shared" si="61"/>
        <v>2604.06</v>
      </c>
      <c r="H912" s="26">
        <f t="shared" si="62"/>
        <v>2459.3900000000003</v>
      </c>
    </row>
    <row r="913" spans="1:8" s="29" customFormat="1" x14ac:dyDescent="0.2">
      <c r="A913" s="31">
        <f t="shared" ref="A913:A976" si="63">A912+1</f>
        <v>899</v>
      </c>
      <c r="B913" s="32">
        <v>157205</v>
      </c>
      <c r="C913" s="32">
        <v>3003200028</v>
      </c>
      <c r="D913" s="30" t="s">
        <v>2097</v>
      </c>
      <c r="E913" s="36">
        <f>E12*18.2</f>
        <v>1346.8</v>
      </c>
      <c r="F913" s="36">
        <f t="shared" si="60"/>
        <v>1279.46</v>
      </c>
      <c r="G913" s="26">
        <f t="shared" si="61"/>
        <v>1212.1199999999999</v>
      </c>
      <c r="H913" s="26">
        <f t="shared" si="62"/>
        <v>1144.78</v>
      </c>
    </row>
    <row r="914" spans="1:8" s="29" customFormat="1" x14ac:dyDescent="0.2">
      <c r="A914" s="31">
        <f t="shared" si="63"/>
        <v>900</v>
      </c>
      <c r="B914" s="32">
        <v>11332</v>
      </c>
      <c r="C914" s="32">
        <v>11015968</v>
      </c>
      <c r="D914" s="30" t="s">
        <v>2450</v>
      </c>
      <c r="E914" s="36">
        <f>E12*39.1</f>
        <v>2893.4</v>
      </c>
      <c r="F914" s="36">
        <f t="shared" si="60"/>
        <v>2748.73</v>
      </c>
      <c r="G914" s="26">
        <f t="shared" si="61"/>
        <v>2604.06</v>
      </c>
      <c r="H914" s="26">
        <f t="shared" si="62"/>
        <v>2459.3900000000003</v>
      </c>
    </row>
    <row r="915" spans="1:8" s="29" customFormat="1" x14ac:dyDescent="0.2">
      <c r="A915" s="31">
        <f t="shared" si="63"/>
        <v>901</v>
      </c>
      <c r="B915" s="32" t="s">
        <v>2456</v>
      </c>
      <c r="C915" s="32" t="s">
        <v>2455</v>
      </c>
      <c r="D915" s="30" t="s">
        <v>2454</v>
      </c>
      <c r="E915" s="36">
        <f>E12*37</f>
        <v>2738</v>
      </c>
      <c r="F915" s="36">
        <f t="shared" si="60"/>
        <v>2601.1</v>
      </c>
      <c r="G915" s="26">
        <f t="shared" si="61"/>
        <v>2464.1999999999998</v>
      </c>
      <c r="H915" s="26">
        <f t="shared" si="62"/>
        <v>2327.3000000000002</v>
      </c>
    </row>
    <row r="916" spans="1:8" s="29" customFormat="1" x14ac:dyDescent="0.2">
      <c r="A916" s="31">
        <f t="shared" si="63"/>
        <v>902</v>
      </c>
      <c r="B916" s="32" t="s">
        <v>2457</v>
      </c>
      <c r="C916" s="32" t="s">
        <v>2538</v>
      </c>
      <c r="D916" s="30" t="s">
        <v>2537</v>
      </c>
      <c r="E916" s="36">
        <f>E12*37</f>
        <v>2738</v>
      </c>
      <c r="F916" s="36">
        <f t="shared" si="60"/>
        <v>2601.1</v>
      </c>
      <c r="G916" s="26">
        <f t="shared" si="61"/>
        <v>2464.1999999999998</v>
      </c>
      <c r="H916" s="26">
        <f t="shared" si="62"/>
        <v>2327.3000000000002</v>
      </c>
    </row>
    <row r="917" spans="1:8" x14ac:dyDescent="0.2">
      <c r="A917" s="31">
        <f t="shared" si="63"/>
        <v>903</v>
      </c>
      <c r="B917" s="9" t="s">
        <v>1204</v>
      </c>
      <c r="C917" s="32">
        <v>6003510125</v>
      </c>
      <c r="D917" s="1" t="s">
        <v>1957</v>
      </c>
      <c r="E917" s="36">
        <f>E12*21.5</f>
        <v>1591</v>
      </c>
      <c r="F917" s="36">
        <f t="shared" si="60"/>
        <v>1511.45</v>
      </c>
      <c r="G917" s="26">
        <f t="shared" si="61"/>
        <v>1431.9</v>
      </c>
      <c r="H917" s="26">
        <f t="shared" si="62"/>
        <v>1352.35</v>
      </c>
    </row>
    <row r="918" spans="1:8" x14ac:dyDescent="0.2">
      <c r="A918" s="31">
        <f t="shared" si="63"/>
        <v>904</v>
      </c>
      <c r="B918" s="9" t="s">
        <v>1220</v>
      </c>
      <c r="C918" s="32">
        <v>3573510025</v>
      </c>
      <c r="D918" s="1" t="s">
        <v>1958</v>
      </c>
      <c r="E918" s="36">
        <f>E12*19.21</f>
        <v>1421.54</v>
      </c>
      <c r="F918" s="36">
        <f t="shared" si="60"/>
        <v>1350.463</v>
      </c>
      <c r="G918" s="26">
        <f t="shared" si="61"/>
        <v>1279.386</v>
      </c>
      <c r="H918" s="26">
        <f t="shared" si="62"/>
        <v>1208.309</v>
      </c>
    </row>
    <row r="919" spans="1:8" x14ac:dyDescent="0.2">
      <c r="A919" s="31">
        <f t="shared" si="63"/>
        <v>905</v>
      </c>
      <c r="B919" s="9" t="s">
        <v>451</v>
      </c>
      <c r="C919" s="32">
        <v>1628345</v>
      </c>
      <c r="D919" s="1" t="s">
        <v>1959</v>
      </c>
      <c r="E919" s="36">
        <f>E12*10.69</f>
        <v>791.06</v>
      </c>
      <c r="F919" s="36">
        <f t="shared" si="60"/>
        <v>751.50699999999995</v>
      </c>
      <c r="G919" s="26">
        <f t="shared" si="61"/>
        <v>711.95399999999995</v>
      </c>
      <c r="H919" s="26">
        <f t="shared" si="62"/>
        <v>672.40099999999995</v>
      </c>
    </row>
    <row r="920" spans="1:8" x14ac:dyDescent="0.2">
      <c r="A920" s="31">
        <f t="shared" si="63"/>
        <v>906</v>
      </c>
      <c r="B920" s="9" t="s">
        <v>347</v>
      </c>
      <c r="C920" s="32">
        <v>1590927</v>
      </c>
      <c r="D920" s="1" t="s">
        <v>1960</v>
      </c>
      <c r="E920" s="36">
        <f>E12*17.27</f>
        <v>1277.98</v>
      </c>
      <c r="F920" s="36">
        <f t="shared" si="60"/>
        <v>1214.0810000000001</v>
      </c>
      <c r="G920" s="26">
        <f t="shared" si="61"/>
        <v>1150.182</v>
      </c>
      <c r="H920" s="26">
        <f t="shared" si="62"/>
        <v>1086.2829999999999</v>
      </c>
    </row>
    <row r="921" spans="1:8" x14ac:dyDescent="0.2">
      <c r="A921" s="31">
        <f t="shared" si="63"/>
        <v>907</v>
      </c>
      <c r="B921" s="9" t="s">
        <v>420</v>
      </c>
      <c r="C921" s="32" t="s">
        <v>1962</v>
      </c>
      <c r="D921" s="1" t="s">
        <v>1961</v>
      </c>
      <c r="E921" s="36">
        <f>E12*12.75</f>
        <v>943.5</v>
      </c>
      <c r="F921" s="36">
        <f t="shared" si="60"/>
        <v>896.32500000000005</v>
      </c>
      <c r="G921" s="26">
        <f t="shared" si="61"/>
        <v>849.15</v>
      </c>
      <c r="H921" s="26">
        <f t="shared" si="62"/>
        <v>801.97500000000002</v>
      </c>
    </row>
    <row r="922" spans="1:8" x14ac:dyDescent="0.2">
      <c r="A922" s="31">
        <f t="shared" si="63"/>
        <v>908</v>
      </c>
      <c r="B922" s="9" t="s">
        <v>419</v>
      </c>
      <c r="C922" s="32">
        <v>42065777</v>
      </c>
      <c r="D922" s="1" t="s">
        <v>1963</v>
      </c>
      <c r="E922" s="36">
        <f>E12*20.86</f>
        <v>1543.6399999999999</v>
      </c>
      <c r="F922" s="36">
        <f t="shared" si="60"/>
        <v>1466.4579999999999</v>
      </c>
      <c r="G922" s="26">
        <f t="shared" si="61"/>
        <v>1389.2759999999998</v>
      </c>
      <c r="H922" s="26">
        <f t="shared" si="62"/>
        <v>1312.0939999999998</v>
      </c>
    </row>
    <row r="923" spans="1:8" x14ac:dyDescent="0.2">
      <c r="A923" s="31">
        <f t="shared" si="63"/>
        <v>909</v>
      </c>
      <c r="B923" s="9" t="s">
        <v>421</v>
      </c>
      <c r="C923" s="32">
        <v>3953510125</v>
      </c>
      <c r="D923" s="1" t="s">
        <v>1964</v>
      </c>
      <c r="E923" s="36">
        <f>E12*18.1</f>
        <v>1339.4</v>
      </c>
      <c r="F923" s="36">
        <f t="shared" si="60"/>
        <v>1272.43</v>
      </c>
      <c r="G923" s="26">
        <f t="shared" si="61"/>
        <v>1205.46</v>
      </c>
      <c r="H923" s="26">
        <f t="shared" si="62"/>
        <v>1138.49</v>
      </c>
    </row>
    <row r="924" spans="1:8" x14ac:dyDescent="0.2">
      <c r="A924" s="31">
        <f t="shared" si="63"/>
        <v>910</v>
      </c>
      <c r="B924" s="9" t="s">
        <v>422</v>
      </c>
      <c r="C924" s="32">
        <v>98516420</v>
      </c>
      <c r="D924" s="1" t="s">
        <v>1965</v>
      </c>
      <c r="E924" s="36">
        <f>E12*18.92</f>
        <v>1400.0800000000002</v>
      </c>
      <c r="F924" s="36">
        <f t="shared" si="60"/>
        <v>1330.0760000000002</v>
      </c>
      <c r="G924" s="26">
        <f t="shared" si="61"/>
        <v>1260.0720000000001</v>
      </c>
      <c r="H924" s="26">
        <f t="shared" si="62"/>
        <v>1190.0680000000002</v>
      </c>
    </row>
    <row r="925" spans="1:8" x14ac:dyDescent="0.2">
      <c r="A925" s="31">
        <f t="shared" si="63"/>
        <v>911</v>
      </c>
      <c r="B925" s="9" t="s">
        <v>423</v>
      </c>
      <c r="C925" s="32">
        <v>3873510025</v>
      </c>
      <c r="D925" s="1" t="s">
        <v>1966</v>
      </c>
      <c r="E925" s="36">
        <f>E12*21.39</f>
        <v>1582.8600000000001</v>
      </c>
      <c r="F925" s="36">
        <f t="shared" si="60"/>
        <v>1503.7170000000001</v>
      </c>
      <c r="G925" s="26">
        <f t="shared" si="61"/>
        <v>1424.5740000000001</v>
      </c>
      <c r="H925" s="26">
        <f t="shared" si="62"/>
        <v>1345.431</v>
      </c>
    </row>
    <row r="926" spans="1:8" x14ac:dyDescent="0.2">
      <c r="A926" s="31">
        <f t="shared" si="63"/>
        <v>912</v>
      </c>
      <c r="B926" s="9" t="s">
        <v>424</v>
      </c>
      <c r="C926" s="32">
        <v>6173510825</v>
      </c>
      <c r="D926" s="1" t="s">
        <v>1967</v>
      </c>
      <c r="E926" s="36">
        <f>E12*14.7</f>
        <v>1087.8</v>
      </c>
      <c r="F926" s="36">
        <f t="shared" si="60"/>
        <v>1033.4099999999999</v>
      </c>
      <c r="G926" s="26">
        <f t="shared" si="61"/>
        <v>979.02</v>
      </c>
      <c r="H926" s="26">
        <f t="shared" si="62"/>
        <v>924.63</v>
      </c>
    </row>
    <row r="927" spans="1:8" x14ac:dyDescent="0.2">
      <c r="A927" s="31">
        <f t="shared" si="63"/>
        <v>913</v>
      </c>
      <c r="B927" s="9" t="s">
        <v>425</v>
      </c>
      <c r="C927" s="32">
        <v>98028350</v>
      </c>
      <c r="D927" s="1" t="s">
        <v>1968</v>
      </c>
      <c r="E927" s="36">
        <f>E12*13.16</f>
        <v>973.84</v>
      </c>
      <c r="F927" s="36">
        <f t="shared" si="60"/>
        <v>925.14800000000002</v>
      </c>
      <c r="G927" s="26">
        <f t="shared" si="61"/>
        <v>876.45600000000002</v>
      </c>
      <c r="H927" s="26">
        <f t="shared" si="62"/>
        <v>827.76400000000001</v>
      </c>
    </row>
    <row r="928" spans="1:8" x14ac:dyDescent="0.2">
      <c r="A928" s="31">
        <f t="shared" si="63"/>
        <v>914</v>
      </c>
      <c r="B928" s="9" t="s">
        <v>437</v>
      </c>
      <c r="C928" s="32"/>
      <c r="D928" s="1" t="s">
        <v>1969</v>
      </c>
      <c r="E928" s="36">
        <f>E12*13.57</f>
        <v>1004.1800000000001</v>
      </c>
      <c r="F928" s="36">
        <f t="shared" si="60"/>
        <v>953.971</v>
      </c>
      <c r="G928" s="26">
        <f t="shared" si="61"/>
        <v>903.76200000000006</v>
      </c>
      <c r="H928" s="26">
        <f t="shared" si="62"/>
        <v>853.55300000000011</v>
      </c>
    </row>
    <row r="929" spans="1:8" x14ac:dyDescent="0.2">
      <c r="A929" s="31">
        <f t="shared" si="63"/>
        <v>915</v>
      </c>
      <c r="B929" s="9" t="s">
        <v>1179</v>
      </c>
      <c r="C929" s="32">
        <v>4474335074</v>
      </c>
      <c r="D929" s="1" t="s">
        <v>1973</v>
      </c>
      <c r="E929" s="36">
        <f>E12*327.6</f>
        <v>24242.400000000001</v>
      </c>
      <c r="F929" s="36">
        <f t="shared" si="60"/>
        <v>23030.280000000002</v>
      </c>
      <c r="G929" s="26">
        <f t="shared" si="61"/>
        <v>21818.16</v>
      </c>
      <c r="H929" s="26">
        <f t="shared" si="62"/>
        <v>20606.04</v>
      </c>
    </row>
    <row r="930" spans="1:8" s="29" customFormat="1" x14ac:dyDescent="0.2">
      <c r="A930" s="31">
        <f t="shared" si="63"/>
        <v>916</v>
      </c>
      <c r="B930" s="32">
        <v>152500</v>
      </c>
      <c r="C930" s="32">
        <v>4472335160</v>
      </c>
      <c r="D930" s="30" t="s">
        <v>1972</v>
      </c>
      <c r="E930" s="36">
        <f>E12*336.7</f>
        <v>24915.8</v>
      </c>
      <c r="F930" s="36">
        <f t="shared" si="60"/>
        <v>23670.01</v>
      </c>
      <c r="G930" s="26">
        <f t="shared" si="61"/>
        <v>22424.22</v>
      </c>
      <c r="H930" s="26">
        <f t="shared" si="62"/>
        <v>21178.43</v>
      </c>
    </row>
    <row r="931" spans="1:8" x14ac:dyDescent="0.2">
      <c r="A931" s="31">
        <f t="shared" si="63"/>
        <v>917</v>
      </c>
      <c r="B931" s="9" t="s">
        <v>1291</v>
      </c>
      <c r="C931" s="32">
        <v>3563560001</v>
      </c>
      <c r="D931" s="1" t="s">
        <v>1970</v>
      </c>
      <c r="E931" s="36">
        <f>E12*302.2</f>
        <v>22362.799999999999</v>
      </c>
      <c r="F931" s="36">
        <f t="shared" si="60"/>
        <v>21244.66</v>
      </c>
      <c r="G931" s="26">
        <f t="shared" si="61"/>
        <v>20126.52</v>
      </c>
      <c r="H931" s="26">
        <f t="shared" si="62"/>
        <v>19008.38</v>
      </c>
    </row>
    <row r="932" spans="1:8" x14ac:dyDescent="0.2">
      <c r="A932" s="31">
        <f t="shared" si="63"/>
        <v>918</v>
      </c>
      <c r="B932" s="9" t="s">
        <v>944</v>
      </c>
      <c r="C932" s="32">
        <v>3563340001</v>
      </c>
      <c r="D932" s="1" t="s">
        <v>1971</v>
      </c>
      <c r="E932" s="36">
        <f>E12*227.5</f>
        <v>16835</v>
      </c>
      <c r="F932" s="36">
        <f t="shared" si="60"/>
        <v>15993.25</v>
      </c>
      <c r="G932" s="26">
        <f t="shared" si="61"/>
        <v>15151.5</v>
      </c>
      <c r="H932" s="26">
        <f t="shared" si="62"/>
        <v>14309.75</v>
      </c>
    </row>
    <row r="933" spans="1:8" x14ac:dyDescent="0.2">
      <c r="A933" s="31">
        <f t="shared" si="63"/>
        <v>919</v>
      </c>
      <c r="B933" s="9" t="s">
        <v>1281</v>
      </c>
      <c r="C933" s="32">
        <v>3853560601</v>
      </c>
      <c r="D933" s="1" t="s">
        <v>1974</v>
      </c>
      <c r="E933" s="36">
        <f>E12*264</f>
        <v>19536</v>
      </c>
      <c r="F933" s="36">
        <f t="shared" si="60"/>
        <v>18559.2</v>
      </c>
      <c r="G933" s="26">
        <f t="shared" si="61"/>
        <v>17582.400000000001</v>
      </c>
      <c r="H933" s="26">
        <f t="shared" si="62"/>
        <v>16605.599999999999</v>
      </c>
    </row>
    <row r="934" spans="1:8" s="29" customFormat="1" x14ac:dyDescent="0.2">
      <c r="A934" s="31">
        <f t="shared" si="63"/>
        <v>920</v>
      </c>
      <c r="B934" s="32">
        <v>367611</v>
      </c>
      <c r="C934" s="32">
        <v>81357010155</v>
      </c>
      <c r="D934" s="30" t="s">
        <v>1975</v>
      </c>
      <c r="E934" s="36">
        <f>E12*209</f>
        <v>15466</v>
      </c>
      <c r="F934" s="36">
        <f t="shared" si="60"/>
        <v>14692.7</v>
      </c>
      <c r="G934" s="26">
        <f t="shared" si="61"/>
        <v>13919.4</v>
      </c>
      <c r="H934" s="26">
        <f t="shared" si="62"/>
        <v>13146.1</v>
      </c>
    </row>
    <row r="935" spans="1:8" s="29" customFormat="1" x14ac:dyDescent="0.2">
      <c r="A935" s="31">
        <f t="shared" si="63"/>
        <v>921</v>
      </c>
      <c r="B935" s="32">
        <v>100600028</v>
      </c>
      <c r="C935" s="32">
        <v>9423341501</v>
      </c>
      <c r="D935" s="30" t="s">
        <v>1976</v>
      </c>
      <c r="E935" s="36">
        <f>E12*213</f>
        <v>15762</v>
      </c>
      <c r="F935" s="36">
        <f t="shared" si="60"/>
        <v>14973.9</v>
      </c>
      <c r="G935" s="26">
        <f t="shared" si="61"/>
        <v>14185.8</v>
      </c>
      <c r="H935" s="26">
        <f t="shared" si="62"/>
        <v>13397.7</v>
      </c>
    </row>
    <row r="936" spans="1:8" x14ac:dyDescent="0.2">
      <c r="A936" s="31">
        <f t="shared" si="63"/>
        <v>922</v>
      </c>
      <c r="B936" s="9" t="s">
        <v>490</v>
      </c>
      <c r="C936" s="32">
        <v>6524230006</v>
      </c>
      <c r="D936" s="1" t="s">
        <v>1977</v>
      </c>
      <c r="E936" s="36">
        <f>E12*136.5</f>
        <v>10101</v>
      </c>
      <c r="F936" s="36">
        <f t="shared" si="60"/>
        <v>9595.9500000000007</v>
      </c>
      <c r="G936" s="26">
        <f t="shared" si="61"/>
        <v>9090.9</v>
      </c>
      <c r="H936" s="26">
        <f t="shared" si="62"/>
        <v>8585.85</v>
      </c>
    </row>
    <row r="937" spans="1:8" x14ac:dyDescent="0.2">
      <c r="A937" s="31">
        <f t="shared" si="63"/>
        <v>923</v>
      </c>
      <c r="B937" s="9" t="s">
        <v>438</v>
      </c>
      <c r="C937" s="32" t="s">
        <v>1979</v>
      </c>
      <c r="D937" s="1" t="s">
        <v>1978</v>
      </c>
      <c r="E937" s="36">
        <f>E12*11.85</f>
        <v>876.9</v>
      </c>
      <c r="F937" s="36">
        <f t="shared" si="60"/>
        <v>833.05499999999995</v>
      </c>
      <c r="G937" s="26">
        <f t="shared" si="61"/>
        <v>789.21</v>
      </c>
      <c r="H937" s="26">
        <f t="shared" si="62"/>
        <v>745.36500000000001</v>
      </c>
    </row>
    <row r="938" spans="1:8" x14ac:dyDescent="0.2">
      <c r="A938" s="31">
        <f t="shared" si="63"/>
        <v>924</v>
      </c>
      <c r="B938" s="9" t="s">
        <v>112</v>
      </c>
      <c r="C938" s="32">
        <v>51064020067</v>
      </c>
      <c r="D938" s="1" t="s">
        <v>1980</v>
      </c>
      <c r="E938" s="36">
        <f>E12*11.85</f>
        <v>876.9</v>
      </c>
      <c r="F938" s="36">
        <f t="shared" si="60"/>
        <v>833.05499999999995</v>
      </c>
      <c r="G938" s="26">
        <f t="shared" si="61"/>
        <v>789.21</v>
      </c>
      <c r="H938" s="26">
        <f t="shared" si="62"/>
        <v>745.36500000000001</v>
      </c>
    </row>
    <row r="939" spans="1:8" x14ac:dyDescent="0.2">
      <c r="A939" s="31">
        <f t="shared" si="63"/>
        <v>925</v>
      </c>
      <c r="B939" s="9" t="s">
        <v>1982</v>
      </c>
      <c r="C939" s="32">
        <v>51064020063</v>
      </c>
      <c r="D939" s="1" t="s">
        <v>1981</v>
      </c>
      <c r="E939" s="36">
        <f>E12*9.95</f>
        <v>736.3</v>
      </c>
      <c r="F939" s="36">
        <f t="shared" si="60"/>
        <v>699.4849999999999</v>
      </c>
      <c r="G939" s="26">
        <f t="shared" si="61"/>
        <v>662.67</v>
      </c>
      <c r="H939" s="26">
        <f t="shared" si="62"/>
        <v>625.85500000000002</v>
      </c>
    </row>
    <row r="940" spans="1:8" x14ac:dyDescent="0.2">
      <c r="A940" s="31">
        <f t="shared" si="63"/>
        <v>926</v>
      </c>
      <c r="B940" s="9" t="s">
        <v>963</v>
      </c>
      <c r="C940" s="32">
        <v>3568200041</v>
      </c>
      <c r="D940" s="1" t="s">
        <v>1983</v>
      </c>
      <c r="E940" s="36">
        <f>E12*169.86</f>
        <v>12569.640000000001</v>
      </c>
      <c r="F940" s="36">
        <f t="shared" si="60"/>
        <v>11941.158000000001</v>
      </c>
      <c r="G940" s="26">
        <f t="shared" si="61"/>
        <v>11312.676000000001</v>
      </c>
      <c r="H940" s="26">
        <f t="shared" si="62"/>
        <v>10684.194000000001</v>
      </c>
    </row>
    <row r="941" spans="1:8" x14ac:dyDescent="0.2">
      <c r="A941" s="31">
        <f t="shared" si="63"/>
        <v>927</v>
      </c>
      <c r="B941" s="9" t="s">
        <v>75</v>
      </c>
      <c r="C941" s="32">
        <v>3054202638</v>
      </c>
      <c r="D941" s="1" t="s">
        <v>1984</v>
      </c>
      <c r="E941" s="36">
        <f>E12*43</f>
        <v>3182</v>
      </c>
      <c r="F941" s="36">
        <f t="shared" si="60"/>
        <v>3022.9</v>
      </c>
      <c r="G941" s="26">
        <f t="shared" si="61"/>
        <v>2863.8</v>
      </c>
      <c r="H941" s="26">
        <f t="shared" si="62"/>
        <v>2704.7</v>
      </c>
    </row>
    <row r="942" spans="1:8" x14ac:dyDescent="0.2">
      <c r="A942" s="31">
        <f t="shared" si="63"/>
        <v>928</v>
      </c>
      <c r="B942" s="9" t="s">
        <v>76</v>
      </c>
      <c r="C942" s="32">
        <v>3074200338</v>
      </c>
      <c r="D942" s="1" t="s">
        <v>1985</v>
      </c>
      <c r="E942" s="36">
        <f>E12*43</f>
        <v>3182</v>
      </c>
      <c r="F942" s="36">
        <f t="shared" si="60"/>
        <v>3022.9</v>
      </c>
      <c r="G942" s="26">
        <f t="shared" si="61"/>
        <v>2863.8</v>
      </c>
      <c r="H942" s="26">
        <f t="shared" si="62"/>
        <v>2704.7</v>
      </c>
    </row>
    <row r="943" spans="1:8" x14ac:dyDescent="0.2">
      <c r="A943" s="31">
        <f t="shared" si="63"/>
        <v>929</v>
      </c>
      <c r="B943" s="9" t="s">
        <v>1171</v>
      </c>
      <c r="C943" s="32">
        <v>3574201438</v>
      </c>
      <c r="D943" s="1" t="s">
        <v>1986</v>
      </c>
      <c r="E943" s="36">
        <f>E12*43</f>
        <v>3182</v>
      </c>
      <c r="F943" s="36">
        <f t="shared" si="60"/>
        <v>3022.9</v>
      </c>
      <c r="G943" s="26">
        <f t="shared" si="61"/>
        <v>2863.8</v>
      </c>
      <c r="H943" s="26">
        <f t="shared" si="62"/>
        <v>2704.7</v>
      </c>
    </row>
    <row r="944" spans="1:8" x14ac:dyDescent="0.2">
      <c r="A944" s="31">
        <f t="shared" si="63"/>
        <v>930</v>
      </c>
      <c r="B944" s="9" t="s">
        <v>1170</v>
      </c>
      <c r="C944" s="32">
        <v>81506106182</v>
      </c>
      <c r="D944" s="1" t="s">
        <v>1987</v>
      </c>
      <c r="E944" s="36">
        <f>E12*43</f>
        <v>3182</v>
      </c>
      <c r="F944" s="36">
        <f t="shared" si="60"/>
        <v>3022.9</v>
      </c>
      <c r="G944" s="26">
        <f t="shared" si="61"/>
        <v>2863.8</v>
      </c>
      <c r="H944" s="26">
        <f t="shared" si="62"/>
        <v>2704.7</v>
      </c>
    </row>
    <row r="945" spans="1:8" x14ac:dyDescent="0.2">
      <c r="A945" s="31">
        <f t="shared" si="63"/>
        <v>931</v>
      </c>
      <c r="B945" s="9" t="s">
        <v>724</v>
      </c>
      <c r="C945" s="32" t="s">
        <v>1990</v>
      </c>
      <c r="D945" s="1" t="s">
        <v>1988</v>
      </c>
      <c r="E945" s="36">
        <f>E12*45</f>
        <v>3330</v>
      </c>
      <c r="F945" s="36">
        <f t="shared" si="60"/>
        <v>3163.5</v>
      </c>
      <c r="G945" s="26">
        <f t="shared" si="61"/>
        <v>2997</v>
      </c>
      <c r="H945" s="26">
        <f t="shared" si="62"/>
        <v>2830.5</v>
      </c>
    </row>
    <row r="946" spans="1:8" x14ac:dyDescent="0.2">
      <c r="A946" s="31">
        <f t="shared" si="63"/>
        <v>932</v>
      </c>
      <c r="B946" s="9" t="s">
        <v>723</v>
      </c>
      <c r="C946" s="32" t="s">
        <v>1991</v>
      </c>
      <c r="D946" s="1" t="s">
        <v>1989</v>
      </c>
      <c r="E946" s="36">
        <f>E12*45</f>
        <v>3330</v>
      </c>
      <c r="F946" s="36">
        <f t="shared" si="60"/>
        <v>3163.5</v>
      </c>
      <c r="G946" s="26">
        <f t="shared" si="61"/>
        <v>2997</v>
      </c>
      <c r="H946" s="26">
        <f t="shared" si="62"/>
        <v>2830.5</v>
      </c>
    </row>
    <row r="947" spans="1:8" x14ac:dyDescent="0.2">
      <c r="A947" s="31">
        <f t="shared" si="63"/>
        <v>933</v>
      </c>
      <c r="B947" s="9" t="s">
        <v>1172</v>
      </c>
      <c r="C947" s="32">
        <v>3574200538</v>
      </c>
      <c r="D947" s="1" t="s">
        <v>1992</v>
      </c>
      <c r="E947" s="36">
        <f>E12*49</f>
        <v>3626</v>
      </c>
      <c r="F947" s="36">
        <f t="shared" si="60"/>
        <v>3444.7</v>
      </c>
      <c r="G947" s="26">
        <f t="shared" si="61"/>
        <v>3263.4</v>
      </c>
      <c r="H947" s="26">
        <f t="shared" si="62"/>
        <v>3082.1</v>
      </c>
    </row>
    <row r="948" spans="1:8" x14ac:dyDescent="0.2">
      <c r="A948" s="31">
        <f t="shared" si="63"/>
        <v>934</v>
      </c>
      <c r="B948" s="9" t="s">
        <v>292</v>
      </c>
      <c r="C948" s="32">
        <v>3574201138</v>
      </c>
      <c r="D948" s="1" t="s">
        <v>1993</v>
      </c>
      <c r="E948" s="36">
        <f>E12*43</f>
        <v>3182</v>
      </c>
      <c r="F948" s="36">
        <f t="shared" si="60"/>
        <v>3022.9</v>
      </c>
      <c r="G948" s="26">
        <f t="shared" si="61"/>
        <v>2863.8</v>
      </c>
      <c r="H948" s="26">
        <f t="shared" si="62"/>
        <v>2704.7</v>
      </c>
    </row>
    <row r="949" spans="1:8" x14ac:dyDescent="0.2">
      <c r="A949" s="31">
        <f t="shared" si="63"/>
        <v>935</v>
      </c>
      <c r="B949" s="9" t="s">
        <v>293</v>
      </c>
      <c r="C949" s="32">
        <v>3574201238</v>
      </c>
      <c r="D949" s="1" t="s">
        <v>1994</v>
      </c>
      <c r="E949" s="36">
        <f>E12*43</f>
        <v>3182</v>
      </c>
      <c r="F949" s="36">
        <f t="shared" si="60"/>
        <v>3022.9</v>
      </c>
      <c r="G949" s="26">
        <f t="shared" si="61"/>
        <v>2863.8</v>
      </c>
      <c r="H949" s="26">
        <f t="shared" si="62"/>
        <v>2704.7</v>
      </c>
    </row>
    <row r="950" spans="1:8" x14ac:dyDescent="0.2">
      <c r="A950" s="31">
        <f t="shared" si="63"/>
        <v>936</v>
      </c>
      <c r="B950" s="9" t="s">
        <v>463</v>
      </c>
      <c r="C950" s="32">
        <v>3014201138</v>
      </c>
      <c r="D950" s="1" t="s">
        <v>1995</v>
      </c>
      <c r="E950" s="36">
        <f>E12*43</f>
        <v>3182</v>
      </c>
      <c r="F950" s="36">
        <f t="shared" ref="F950:F1012" si="64">E950-E950*5%</f>
        <v>3022.9</v>
      </c>
      <c r="G950" s="26">
        <f t="shared" ref="G950:G1012" si="65">E950-E950*10%</f>
        <v>2863.8</v>
      </c>
      <c r="H950" s="26">
        <f t="shared" ref="H950:H1012" si="66">E950-E950*15%</f>
        <v>2704.7</v>
      </c>
    </row>
    <row r="951" spans="1:8" x14ac:dyDescent="0.2">
      <c r="A951" s="31">
        <f t="shared" si="63"/>
        <v>937</v>
      </c>
      <c r="B951" s="9" t="s">
        <v>926</v>
      </c>
      <c r="C951" s="32">
        <v>82830005520</v>
      </c>
      <c r="D951" s="1" t="s">
        <v>2042</v>
      </c>
      <c r="E951" s="36">
        <f>E12*45.5</f>
        <v>3367</v>
      </c>
      <c r="F951" s="36">
        <f t="shared" si="64"/>
        <v>3198.65</v>
      </c>
      <c r="G951" s="26">
        <f t="shared" si="65"/>
        <v>3030.3</v>
      </c>
      <c r="H951" s="26">
        <f t="shared" si="66"/>
        <v>2861.95</v>
      </c>
    </row>
    <row r="952" spans="1:8" x14ac:dyDescent="0.2">
      <c r="A952" s="31">
        <f t="shared" si="63"/>
        <v>938</v>
      </c>
      <c r="B952" s="9" t="s">
        <v>927</v>
      </c>
      <c r="C952" s="32">
        <v>82830005530</v>
      </c>
      <c r="D952" s="1" t="s">
        <v>1996</v>
      </c>
      <c r="E952" s="36">
        <f>E12*45.5</f>
        <v>3367</v>
      </c>
      <c r="F952" s="36">
        <f t="shared" si="64"/>
        <v>3198.65</v>
      </c>
      <c r="G952" s="26">
        <f t="shared" si="65"/>
        <v>3030.3</v>
      </c>
      <c r="H952" s="26">
        <f t="shared" si="66"/>
        <v>2861.95</v>
      </c>
    </row>
    <row r="953" spans="1:8" x14ac:dyDescent="0.2">
      <c r="A953" s="31">
        <f t="shared" si="63"/>
        <v>939</v>
      </c>
      <c r="B953" s="9" t="s">
        <v>928</v>
      </c>
      <c r="C953" s="32">
        <v>4335435200</v>
      </c>
      <c r="D953" s="1" t="s">
        <v>1997</v>
      </c>
      <c r="E953" s="36">
        <f>E12*70.5</f>
        <v>5217</v>
      </c>
      <c r="F953" s="36">
        <f t="shared" si="64"/>
        <v>4956.1499999999996</v>
      </c>
      <c r="G953" s="26">
        <f t="shared" si="65"/>
        <v>4695.3</v>
      </c>
      <c r="H953" s="26">
        <f t="shared" si="66"/>
        <v>4434.45</v>
      </c>
    </row>
    <row r="954" spans="1:8" x14ac:dyDescent="0.2">
      <c r="A954" s="31">
        <f t="shared" si="63"/>
        <v>940</v>
      </c>
      <c r="B954" s="9" t="s">
        <v>929</v>
      </c>
      <c r="C954" s="32">
        <v>4335435210</v>
      </c>
      <c r="D954" s="1" t="s">
        <v>1998</v>
      </c>
      <c r="E954" s="36">
        <f>E12*70.5</f>
        <v>5217</v>
      </c>
      <c r="F954" s="36">
        <f t="shared" si="64"/>
        <v>4956.1499999999996</v>
      </c>
      <c r="G954" s="26">
        <f t="shared" si="65"/>
        <v>4695.3</v>
      </c>
      <c r="H954" s="26">
        <f t="shared" si="66"/>
        <v>4434.45</v>
      </c>
    </row>
    <row r="955" spans="1:8" x14ac:dyDescent="0.2">
      <c r="A955" s="31">
        <f t="shared" si="63"/>
        <v>941</v>
      </c>
      <c r="B955" s="9" t="s">
        <v>445</v>
      </c>
      <c r="C955" s="32">
        <v>82830007790</v>
      </c>
      <c r="D955" s="1" t="s">
        <v>1999</v>
      </c>
      <c r="E955" s="36">
        <f>E12*76</f>
        <v>5624</v>
      </c>
      <c r="F955" s="36">
        <f t="shared" si="64"/>
        <v>5342.8</v>
      </c>
      <c r="G955" s="26">
        <f t="shared" si="65"/>
        <v>5061.6000000000004</v>
      </c>
      <c r="H955" s="26">
        <f t="shared" si="66"/>
        <v>4780.3999999999996</v>
      </c>
    </row>
    <row r="956" spans="1:8" x14ac:dyDescent="0.2">
      <c r="A956" s="31">
        <f t="shared" si="63"/>
        <v>942</v>
      </c>
      <c r="B956" s="9" t="s">
        <v>449</v>
      </c>
      <c r="C956" s="32">
        <v>82830007780</v>
      </c>
      <c r="D956" s="1" t="s">
        <v>2000</v>
      </c>
      <c r="E956" s="36">
        <f>E12*76</f>
        <v>5624</v>
      </c>
      <c r="F956" s="36">
        <f t="shared" si="64"/>
        <v>5342.8</v>
      </c>
      <c r="G956" s="26">
        <f t="shared" si="65"/>
        <v>5061.6000000000004</v>
      </c>
      <c r="H956" s="26">
        <f t="shared" si="66"/>
        <v>4780.3999999999996</v>
      </c>
    </row>
    <row r="957" spans="1:8" x14ac:dyDescent="0.2">
      <c r="A957" s="31">
        <f t="shared" si="63"/>
        <v>943</v>
      </c>
      <c r="B957" s="9" t="s">
        <v>193</v>
      </c>
      <c r="C957" s="32">
        <v>467495</v>
      </c>
      <c r="D957" s="1" t="s">
        <v>2001</v>
      </c>
      <c r="E957" s="36">
        <f>E12*29.1</f>
        <v>2153.4</v>
      </c>
      <c r="F957" s="36">
        <f t="shared" si="64"/>
        <v>2045.73</v>
      </c>
      <c r="G957" s="26">
        <f t="shared" si="65"/>
        <v>1938.06</v>
      </c>
      <c r="H957" s="26">
        <f t="shared" si="66"/>
        <v>1830.39</v>
      </c>
    </row>
    <row r="958" spans="1:8" x14ac:dyDescent="0.2">
      <c r="A958" s="31">
        <f t="shared" si="63"/>
        <v>944</v>
      </c>
      <c r="B958" s="9" t="s">
        <v>194</v>
      </c>
      <c r="C958" s="32">
        <v>51103016123</v>
      </c>
      <c r="D958" s="1" t="s">
        <v>2002</v>
      </c>
      <c r="E958" s="36">
        <v>2217</v>
      </c>
      <c r="F958" s="36">
        <f t="shared" si="64"/>
        <v>2106.15</v>
      </c>
      <c r="G958" s="26">
        <f t="shared" si="65"/>
        <v>1995.3</v>
      </c>
      <c r="H958" s="26">
        <f t="shared" si="66"/>
        <v>1884.45</v>
      </c>
    </row>
    <row r="959" spans="1:8" x14ac:dyDescent="0.2">
      <c r="A959" s="31">
        <f t="shared" si="63"/>
        <v>945</v>
      </c>
      <c r="B959" s="9" t="s">
        <v>1261</v>
      </c>
      <c r="C959" s="32">
        <v>51103036132</v>
      </c>
      <c r="D959" s="1" t="s">
        <v>2003</v>
      </c>
      <c r="E959" s="36">
        <f>E12*35.42</f>
        <v>2621.08</v>
      </c>
      <c r="F959" s="36">
        <f t="shared" si="64"/>
        <v>2490.0259999999998</v>
      </c>
      <c r="G959" s="26">
        <f t="shared" si="65"/>
        <v>2358.9719999999998</v>
      </c>
      <c r="H959" s="26">
        <f t="shared" si="66"/>
        <v>2227.9180000000001</v>
      </c>
    </row>
    <row r="960" spans="1:8" x14ac:dyDescent="0.2">
      <c r="A960" s="31">
        <f t="shared" si="63"/>
        <v>946</v>
      </c>
      <c r="B960" s="9" t="s">
        <v>489</v>
      </c>
      <c r="C960" s="32">
        <v>51103026211</v>
      </c>
      <c r="D960" s="1" t="s">
        <v>2004</v>
      </c>
      <c r="E960" s="36">
        <f>E12*32.6</f>
        <v>2412.4</v>
      </c>
      <c r="F960" s="36">
        <f t="shared" si="64"/>
        <v>2291.7800000000002</v>
      </c>
      <c r="G960" s="26">
        <f t="shared" si="65"/>
        <v>2171.16</v>
      </c>
      <c r="H960" s="26">
        <f t="shared" si="66"/>
        <v>2050.54</v>
      </c>
    </row>
    <row r="961" spans="1:8" x14ac:dyDescent="0.2">
      <c r="A961" s="31">
        <f t="shared" si="63"/>
        <v>947</v>
      </c>
      <c r="B961" s="9" t="s">
        <v>1262</v>
      </c>
      <c r="C961" s="32">
        <v>4410705533</v>
      </c>
      <c r="D961" s="1" t="s">
        <v>2005</v>
      </c>
      <c r="E961" s="36">
        <f>E12*34.6</f>
        <v>2560.4</v>
      </c>
      <c r="F961" s="36">
        <f t="shared" si="64"/>
        <v>2432.38</v>
      </c>
      <c r="G961" s="26">
        <f t="shared" si="65"/>
        <v>2304.36</v>
      </c>
      <c r="H961" s="26">
        <f t="shared" si="66"/>
        <v>2176.34</v>
      </c>
    </row>
    <row r="962" spans="1:8" x14ac:dyDescent="0.2">
      <c r="A962" s="31">
        <f t="shared" si="63"/>
        <v>948</v>
      </c>
      <c r="B962" s="9" t="s">
        <v>453</v>
      </c>
      <c r="C962" s="32" t="s">
        <v>2007</v>
      </c>
      <c r="D962" s="1" t="s">
        <v>2006</v>
      </c>
      <c r="E962" s="36">
        <f>E12*43</f>
        <v>3182</v>
      </c>
      <c r="F962" s="36">
        <f t="shared" si="64"/>
        <v>3022.9</v>
      </c>
      <c r="G962" s="26">
        <f t="shared" si="65"/>
        <v>2863.8</v>
      </c>
      <c r="H962" s="26">
        <f t="shared" si="66"/>
        <v>2704.7</v>
      </c>
    </row>
    <row r="963" spans="1:8" x14ac:dyDescent="0.2">
      <c r="A963" s="31">
        <f t="shared" si="63"/>
        <v>949</v>
      </c>
      <c r="B963" s="9" t="s">
        <v>1263</v>
      </c>
      <c r="C963" s="32">
        <v>4420701134</v>
      </c>
      <c r="D963" s="1" t="s">
        <v>2008</v>
      </c>
      <c r="E963" s="36">
        <f>E12*36.4</f>
        <v>2693.6</v>
      </c>
      <c r="F963" s="36">
        <f t="shared" si="64"/>
        <v>2558.92</v>
      </c>
      <c r="G963" s="26">
        <f t="shared" si="65"/>
        <v>2424.2399999999998</v>
      </c>
      <c r="H963" s="26">
        <f t="shared" si="66"/>
        <v>2289.56</v>
      </c>
    </row>
    <row r="964" spans="1:8" x14ac:dyDescent="0.2">
      <c r="A964" s="31">
        <f t="shared" si="63"/>
        <v>950</v>
      </c>
      <c r="B964" s="9" t="s">
        <v>1208</v>
      </c>
      <c r="C964" s="32">
        <v>4470702133</v>
      </c>
      <c r="D964" s="1" t="s">
        <v>2009</v>
      </c>
      <c r="E964" s="36">
        <f>E12*36.4</f>
        <v>2693.6</v>
      </c>
      <c r="F964" s="36">
        <f t="shared" si="64"/>
        <v>2558.92</v>
      </c>
      <c r="G964" s="26">
        <f t="shared" si="65"/>
        <v>2424.2399999999998</v>
      </c>
      <c r="H964" s="26">
        <f t="shared" si="66"/>
        <v>2289.56</v>
      </c>
    </row>
    <row r="965" spans="1:8" x14ac:dyDescent="0.2">
      <c r="A965" s="31">
        <f t="shared" si="63"/>
        <v>951</v>
      </c>
      <c r="B965" s="9" t="s">
        <v>454</v>
      </c>
      <c r="C965" s="32">
        <v>4422000252</v>
      </c>
      <c r="D965" s="1" t="s">
        <v>2010</v>
      </c>
      <c r="E965" s="36">
        <f>E12*7.3</f>
        <v>540.19999999999993</v>
      </c>
      <c r="F965" s="36">
        <f t="shared" si="64"/>
        <v>513.18999999999994</v>
      </c>
      <c r="G965" s="26">
        <f t="shared" si="65"/>
        <v>486.17999999999995</v>
      </c>
      <c r="H965" s="26">
        <f t="shared" si="66"/>
        <v>459.16999999999996</v>
      </c>
    </row>
    <row r="966" spans="1:8" x14ac:dyDescent="0.2">
      <c r="A966" s="31">
        <f t="shared" si="63"/>
        <v>952</v>
      </c>
      <c r="B966" s="9" t="s">
        <v>455</v>
      </c>
      <c r="C966" s="32">
        <v>4222001552</v>
      </c>
      <c r="D966" s="1" t="s">
        <v>2011</v>
      </c>
      <c r="E966" s="36">
        <f>E12*9.1</f>
        <v>673.4</v>
      </c>
      <c r="F966" s="36">
        <f t="shared" si="64"/>
        <v>639.73</v>
      </c>
      <c r="G966" s="26">
        <f t="shared" si="65"/>
        <v>606.05999999999995</v>
      </c>
      <c r="H966" s="26">
        <f t="shared" si="66"/>
        <v>572.39</v>
      </c>
    </row>
    <row r="967" spans="1:8" x14ac:dyDescent="0.2">
      <c r="A967" s="31">
        <f t="shared" si="63"/>
        <v>953</v>
      </c>
      <c r="B967" s="9" t="s">
        <v>994</v>
      </c>
      <c r="C967" s="32" t="s">
        <v>2012</v>
      </c>
      <c r="D967" s="1" t="s">
        <v>2013</v>
      </c>
      <c r="E967" s="36">
        <f>E12*578.33</f>
        <v>42796.420000000006</v>
      </c>
      <c r="F967" s="36">
        <f t="shared" si="64"/>
        <v>40656.599000000002</v>
      </c>
      <c r="G967" s="26">
        <f t="shared" si="65"/>
        <v>38516.778000000006</v>
      </c>
      <c r="H967" s="26">
        <f t="shared" si="66"/>
        <v>36376.957000000002</v>
      </c>
    </row>
    <row r="968" spans="1:8" s="29" customFormat="1" x14ac:dyDescent="0.2">
      <c r="A968" s="31">
        <f t="shared" si="63"/>
        <v>954</v>
      </c>
      <c r="B968" s="32">
        <v>171300</v>
      </c>
      <c r="C968" s="32">
        <v>3737600633</v>
      </c>
      <c r="D968" s="30" t="s">
        <v>2370</v>
      </c>
      <c r="E968" s="36">
        <f>E12*20.18</f>
        <v>1493.32</v>
      </c>
      <c r="F968" s="36">
        <f t="shared" si="64"/>
        <v>1418.654</v>
      </c>
      <c r="G968" s="26">
        <f t="shared" si="65"/>
        <v>1343.9879999999998</v>
      </c>
      <c r="H968" s="26">
        <f t="shared" si="66"/>
        <v>1269.3219999999999</v>
      </c>
    </row>
    <row r="969" spans="1:8" x14ac:dyDescent="0.2">
      <c r="A969" s="31">
        <f t="shared" si="63"/>
        <v>955</v>
      </c>
      <c r="B969" s="9" t="s">
        <v>1090</v>
      </c>
      <c r="C969" s="32">
        <v>3073200389</v>
      </c>
      <c r="D969" s="1" t="s">
        <v>2014</v>
      </c>
      <c r="E969" s="36">
        <f>E12*4.35</f>
        <v>321.89999999999998</v>
      </c>
      <c r="F969" s="36">
        <f t="shared" si="64"/>
        <v>305.80499999999995</v>
      </c>
      <c r="G969" s="26">
        <f t="shared" si="65"/>
        <v>289.70999999999998</v>
      </c>
      <c r="H969" s="26">
        <f t="shared" si="66"/>
        <v>273.61500000000001</v>
      </c>
    </row>
    <row r="970" spans="1:8" x14ac:dyDescent="0.2">
      <c r="A970" s="31">
        <f t="shared" si="63"/>
        <v>956</v>
      </c>
      <c r="B970" s="9" t="s">
        <v>1237</v>
      </c>
      <c r="C970" s="32"/>
      <c r="D970" s="1" t="s">
        <v>2015</v>
      </c>
      <c r="E970" s="36">
        <f>E12*4.48</f>
        <v>331.52000000000004</v>
      </c>
      <c r="F970" s="36">
        <f t="shared" si="64"/>
        <v>314.94400000000002</v>
      </c>
      <c r="G970" s="26">
        <f t="shared" si="65"/>
        <v>298.36800000000005</v>
      </c>
      <c r="H970" s="26">
        <f t="shared" si="66"/>
        <v>281.79200000000003</v>
      </c>
    </row>
    <row r="971" spans="1:8" x14ac:dyDescent="0.2">
      <c r="A971" s="31">
        <f t="shared" si="63"/>
        <v>957</v>
      </c>
      <c r="B971" s="9" t="s">
        <v>1063</v>
      </c>
      <c r="C971" s="32">
        <v>7821002</v>
      </c>
      <c r="D971" s="1" t="s">
        <v>2016</v>
      </c>
      <c r="E971" s="36">
        <f>E12*6.21</f>
        <v>459.54</v>
      </c>
      <c r="F971" s="36">
        <f t="shared" si="64"/>
        <v>436.56299999999999</v>
      </c>
      <c r="G971" s="26">
        <f t="shared" si="65"/>
        <v>413.58600000000001</v>
      </c>
      <c r="H971" s="26">
        <f t="shared" si="66"/>
        <v>390.60900000000004</v>
      </c>
    </row>
    <row r="972" spans="1:8" x14ac:dyDescent="0.2">
      <c r="A972" s="31">
        <f t="shared" si="63"/>
        <v>958</v>
      </c>
      <c r="B972" s="9">
        <v>165571</v>
      </c>
      <c r="C972" s="32"/>
      <c r="D972" s="1" t="s">
        <v>649</v>
      </c>
      <c r="E972" s="36">
        <f>E12*6.15</f>
        <v>455.1</v>
      </c>
      <c r="F972" s="36">
        <f t="shared" si="64"/>
        <v>432.34500000000003</v>
      </c>
      <c r="G972" s="26">
        <f t="shared" si="65"/>
        <v>409.59000000000003</v>
      </c>
      <c r="H972" s="26">
        <f t="shared" si="66"/>
        <v>386.83500000000004</v>
      </c>
    </row>
    <row r="973" spans="1:8" x14ac:dyDescent="0.2">
      <c r="A973" s="31">
        <f t="shared" si="63"/>
        <v>959</v>
      </c>
      <c r="B973" s="9" t="s">
        <v>580</v>
      </c>
      <c r="C973" s="32"/>
      <c r="D973" s="1" t="s">
        <v>107</v>
      </c>
      <c r="E973" s="36">
        <f>E12*4.48</f>
        <v>331.52000000000004</v>
      </c>
      <c r="F973" s="36">
        <f t="shared" si="64"/>
        <v>314.94400000000002</v>
      </c>
      <c r="G973" s="26">
        <f t="shared" si="65"/>
        <v>298.36800000000005</v>
      </c>
      <c r="H973" s="26">
        <f t="shared" si="66"/>
        <v>281.79200000000003</v>
      </c>
    </row>
    <row r="974" spans="1:8" x14ac:dyDescent="0.2">
      <c r="A974" s="31">
        <f t="shared" si="63"/>
        <v>960</v>
      </c>
      <c r="B974" s="9">
        <v>163913</v>
      </c>
      <c r="C974" s="32"/>
      <c r="D974" s="1" t="s">
        <v>481</v>
      </c>
      <c r="E974" s="36">
        <f>E12*4.48</f>
        <v>331.52000000000004</v>
      </c>
      <c r="F974" s="36">
        <f t="shared" si="64"/>
        <v>314.94400000000002</v>
      </c>
      <c r="G974" s="26">
        <f t="shared" si="65"/>
        <v>298.36800000000005</v>
      </c>
      <c r="H974" s="26">
        <f t="shared" si="66"/>
        <v>281.79200000000003</v>
      </c>
    </row>
    <row r="975" spans="1:8" x14ac:dyDescent="0.2">
      <c r="A975" s="31">
        <f t="shared" si="63"/>
        <v>961</v>
      </c>
      <c r="B975" s="9" t="s">
        <v>1223</v>
      </c>
      <c r="C975" s="32"/>
      <c r="D975" s="1" t="s">
        <v>656</v>
      </c>
      <c r="E975" s="36">
        <f>E12*4.48</f>
        <v>331.52000000000004</v>
      </c>
      <c r="F975" s="36">
        <f t="shared" si="64"/>
        <v>314.94400000000002</v>
      </c>
      <c r="G975" s="26">
        <f t="shared" si="65"/>
        <v>298.36800000000005</v>
      </c>
      <c r="H975" s="26">
        <f t="shared" si="66"/>
        <v>281.79200000000003</v>
      </c>
    </row>
    <row r="976" spans="1:8" x14ac:dyDescent="0.2">
      <c r="A976" s="31">
        <f t="shared" si="63"/>
        <v>962</v>
      </c>
      <c r="B976" s="9" t="s">
        <v>216</v>
      </c>
      <c r="C976" s="32">
        <v>3573303411</v>
      </c>
      <c r="D976" s="1" t="s">
        <v>2017</v>
      </c>
      <c r="E976" s="36">
        <f>E12*72.8</f>
        <v>5387.2</v>
      </c>
      <c r="F976" s="36">
        <f t="shared" si="64"/>
        <v>5117.84</v>
      </c>
      <c r="G976" s="26">
        <f t="shared" si="65"/>
        <v>4848.4799999999996</v>
      </c>
      <c r="H976" s="26">
        <f t="shared" si="66"/>
        <v>4579.12</v>
      </c>
    </row>
    <row r="977" spans="1:8" x14ac:dyDescent="0.2">
      <c r="A977" s="31">
        <f t="shared" ref="A977:A1040" si="67">A976+1</f>
        <v>963</v>
      </c>
      <c r="B977" s="9" t="s">
        <v>254</v>
      </c>
      <c r="C977" s="32">
        <v>6003300111</v>
      </c>
      <c r="D977" s="1" t="s">
        <v>2018</v>
      </c>
      <c r="E977" s="36">
        <f>E12*72.8</f>
        <v>5387.2</v>
      </c>
      <c r="F977" s="36">
        <f t="shared" si="64"/>
        <v>5117.84</v>
      </c>
      <c r="G977" s="26">
        <f t="shared" si="65"/>
        <v>4848.4799999999996</v>
      </c>
      <c r="H977" s="26">
        <f t="shared" si="66"/>
        <v>4579.12</v>
      </c>
    </row>
    <row r="978" spans="1:8" x14ac:dyDescent="0.2">
      <c r="A978" s="31">
        <f t="shared" si="67"/>
        <v>964</v>
      </c>
      <c r="B978" s="9" t="s">
        <v>255</v>
      </c>
      <c r="C978" s="32">
        <v>3573303111</v>
      </c>
      <c r="D978" s="1" t="s">
        <v>2019</v>
      </c>
      <c r="E978" s="36">
        <f>E12*72.8</f>
        <v>5387.2</v>
      </c>
      <c r="F978" s="36">
        <f t="shared" si="64"/>
        <v>5117.84</v>
      </c>
      <c r="G978" s="26">
        <f t="shared" si="65"/>
        <v>4848.4799999999996</v>
      </c>
      <c r="H978" s="26">
        <f t="shared" si="66"/>
        <v>4579.12</v>
      </c>
    </row>
    <row r="979" spans="1:8" x14ac:dyDescent="0.2">
      <c r="A979" s="31">
        <f t="shared" si="67"/>
        <v>965</v>
      </c>
      <c r="B979" s="9" t="s">
        <v>496</v>
      </c>
      <c r="C979" s="32">
        <v>3573303411</v>
      </c>
      <c r="D979" s="1" t="s">
        <v>2020</v>
      </c>
      <c r="E979" s="36">
        <f>E12*72.8</f>
        <v>5387.2</v>
      </c>
      <c r="F979" s="36">
        <f t="shared" si="64"/>
        <v>5117.84</v>
      </c>
      <c r="G979" s="26">
        <f t="shared" si="65"/>
        <v>4848.4799999999996</v>
      </c>
      <c r="H979" s="26">
        <f t="shared" si="66"/>
        <v>4579.12</v>
      </c>
    </row>
    <row r="980" spans="1:8" x14ac:dyDescent="0.2">
      <c r="A980" s="31">
        <f t="shared" si="67"/>
        <v>966</v>
      </c>
      <c r="B980" s="9" t="s">
        <v>497</v>
      </c>
      <c r="C980" s="32">
        <v>3173300411</v>
      </c>
      <c r="D980" s="1" t="s">
        <v>2021</v>
      </c>
      <c r="E980" s="36">
        <f>E12*72.8</f>
        <v>5387.2</v>
      </c>
      <c r="F980" s="36">
        <f t="shared" si="64"/>
        <v>5117.84</v>
      </c>
      <c r="G980" s="26">
        <f t="shared" si="65"/>
        <v>4848.4799999999996</v>
      </c>
      <c r="H980" s="26">
        <f t="shared" si="66"/>
        <v>4579.12</v>
      </c>
    </row>
    <row r="981" spans="1:8" x14ac:dyDescent="0.2">
      <c r="A981" s="31">
        <f t="shared" si="67"/>
        <v>967</v>
      </c>
      <c r="B981" s="9" t="s">
        <v>1017</v>
      </c>
      <c r="C981" s="32">
        <v>8226323000</v>
      </c>
      <c r="D981" s="1" t="s">
        <v>2022</v>
      </c>
      <c r="E981" s="36">
        <f>E12*199</f>
        <v>14726</v>
      </c>
      <c r="F981" s="36">
        <f t="shared" si="64"/>
        <v>13989.7</v>
      </c>
      <c r="G981" s="26">
        <f t="shared" si="65"/>
        <v>13253.4</v>
      </c>
      <c r="H981" s="26">
        <f t="shared" si="66"/>
        <v>12517.1</v>
      </c>
    </row>
    <row r="982" spans="1:8" x14ac:dyDescent="0.2">
      <c r="A982" s="31">
        <f t="shared" si="67"/>
        <v>968</v>
      </c>
      <c r="B982" s="9" t="s">
        <v>376</v>
      </c>
      <c r="C982" s="32" t="s">
        <v>2024</v>
      </c>
      <c r="D982" s="1" t="s">
        <v>2023</v>
      </c>
      <c r="E982" s="36">
        <f>E12*80.3</f>
        <v>5942.2</v>
      </c>
      <c r="F982" s="36">
        <f t="shared" si="64"/>
        <v>5645.09</v>
      </c>
      <c r="G982" s="26">
        <f t="shared" si="65"/>
        <v>5347.98</v>
      </c>
      <c r="H982" s="26">
        <f t="shared" si="66"/>
        <v>5050.87</v>
      </c>
    </row>
    <row r="983" spans="1:8" x14ac:dyDescent="0.2">
      <c r="A983" s="31">
        <f t="shared" si="67"/>
        <v>969</v>
      </c>
      <c r="B983" s="9" t="s">
        <v>1112</v>
      </c>
      <c r="C983" s="32">
        <v>82263280000</v>
      </c>
      <c r="D983" s="1" t="s">
        <v>2025</v>
      </c>
      <c r="E983" s="36">
        <f>E12*79</f>
        <v>5846</v>
      </c>
      <c r="F983" s="36">
        <f t="shared" si="64"/>
        <v>5553.7</v>
      </c>
      <c r="G983" s="26">
        <f t="shared" si="65"/>
        <v>5261.4</v>
      </c>
      <c r="H983" s="26">
        <f t="shared" si="66"/>
        <v>4969.1000000000004</v>
      </c>
    </row>
    <row r="984" spans="1:8" x14ac:dyDescent="0.2">
      <c r="A984" s="31">
        <f t="shared" si="67"/>
        <v>970</v>
      </c>
      <c r="B984" s="9" t="s">
        <v>899</v>
      </c>
      <c r="C984" s="32">
        <v>3574600405</v>
      </c>
      <c r="D984" s="1" t="s">
        <v>2026</v>
      </c>
      <c r="E984" s="36">
        <f>E12*81.9</f>
        <v>6060.6</v>
      </c>
      <c r="F984" s="36">
        <f t="shared" si="64"/>
        <v>5757.5700000000006</v>
      </c>
      <c r="G984" s="26">
        <f t="shared" si="65"/>
        <v>5454.54</v>
      </c>
      <c r="H984" s="26">
        <f t="shared" si="66"/>
        <v>5151.51</v>
      </c>
    </row>
    <row r="985" spans="1:8" x14ac:dyDescent="0.2">
      <c r="A985" s="31">
        <f t="shared" si="67"/>
        <v>971</v>
      </c>
      <c r="B985" s="9" t="s">
        <v>913</v>
      </c>
      <c r="C985" s="32">
        <v>3563300103</v>
      </c>
      <c r="D985" s="1" t="s">
        <v>2027</v>
      </c>
      <c r="E985" s="36">
        <f>E12*43.46</f>
        <v>3216.04</v>
      </c>
      <c r="F985" s="36">
        <f t="shared" si="64"/>
        <v>3055.2379999999998</v>
      </c>
      <c r="G985" s="26">
        <f t="shared" si="65"/>
        <v>2894.4359999999997</v>
      </c>
      <c r="H985" s="26">
        <f t="shared" si="66"/>
        <v>2733.634</v>
      </c>
    </row>
    <row r="986" spans="1:8" x14ac:dyDescent="0.2">
      <c r="A986" s="31">
        <f t="shared" si="67"/>
        <v>972</v>
      </c>
      <c r="B986" s="9" t="s">
        <v>946</v>
      </c>
      <c r="C986" s="32">
        <v>6133300003</v>
      </c>
      <c r="D986" s="1" t="s">
        <v>2028</v>
      </c>
      <c r="E986" s="36">
        <f>E12*54.73</f>
        <v>4050.02</v>
      </c>
      <c r="F986" s="36">
        <f t="shared" si="64"/>
        <v>3847.5189999999998</v>
      </c>
      <c r="G986" s="26">
        <f t="shared" si="65"/>
        <v>3645.018</v>
      </c>
      <c r="H986" s="26">
        <f t="shared" si="66"/>
        <v>3442.5169999999998</v>
      </c>
    </row>
    <row r="987" spans="1:8" x14ac:dyDescent="0.2">
      <c r="A987" s="31">
        <f t="shared" si="67"/>
        <v>973</v>
      </c>
      <c r="B987" s="9" t="s">
        <v>1046</v>
      </c>
      <c r="C987" s="32">
        <v>3564630015</v>
      </c>
      <c r="D987" s="1" t="s">
        <v>2029</v>
      </c>
      <c r="E987" s="36">
        <f>E12*146.4</f>
        <v>10833.6</v>
      </c>
      <c r="F987" s="36">
        <f t="shared" si="64"/>
        <v>10291.92</v>
      </c>
      <c r="G987" s="26">
        <f t="shared" si="65"/>
        <v>9750.24</v>
      </c>
      <c r="H987" s="26">
        <f t="shared" si="66"/>
        <v>9208.5600000000013</v>
      </c>
    </row>
    <row r="988" spans="1:8" x14ac:dyDescent="0.2">
      <c r="A988" s="31">
        <f t="shared" si="67"/>
        <v>974</v>
      </c>
      <c r="B988" s="9" t="s">
        <v>940</v>
      </c>
      <c r="C988" s="32">
        <v>6133330105</v>
      </c>
      <c r="D988" s="1" t="s">
        <v>2030</v>
      </c>
      <c r="E988" s="36">
        <f>E12*65.74</f>
        <v>4864.7599999999993</v>
      </c>
      <c r="F988" s="36">
        <f t="shared" si="64"/>
        <v>4621.521999999999</v>
      </c>
      <c r="G988" s="26">
        <f t="shared" si="65"/>
        <v>4378.2839999999997</v>
      </c>
      <c r="H988" s="26">
        <f t="shared" si="66"/>
        <v>4135.0459999999994</v>
      </c>
    </row>
    <row r="989" spans="1:8" x14ac:dyDescent="0.2">
      <c r="A989" s="31">
        <f t="shared" si="67"/>
        <v>975</v>
      </c>
      <c r="B989" s="9" t="s">
        <v>956</v>
      </c>
      <c r="C989" s="32">
        <v>81467106910</v>
      </c>
      <c r="D989" s="1" t="s">
        <v>2031</v>
      </c>
      <c r="E989" s="36">
        <f>E12*160.6</f>
        <v>11884.4</v>
      </c>
      <c r="F989" s="36">
        <f t="shared" si="64"/>
        <v>11290.18</v>
      </c>
      <c r="G989" s="26">
        <f t="shared" si="65"/>
        <v>10695.96</v>
      </c>
      <c r="H989" s="26">
        <f t="shared" si="66"/>
        <v>10101.74</v>
      </c>
    </row>
    <row r="990" spans="1:8" x14ac:dyDescent="0.2">
      <c r="A990" s="31">
        <f t="shared" si="67"/>
        <v>976</v>
      </c>
      <c r="B990" s="9" t="s">
        <v>957</v>
      </c>
      <c r="C990" s="32">
        <v>81466106375</v>
      </c>
      <c r="D990" s="1" t="s">
        <v>2032</v>
      </c>
      <c r="E990" s="36">
        <f>E12*216.15</f>
        <v>15995.1</v>
      </c>
      <c r="F990" s="36">
        <f t="shared" si="64"/>
        <v>15195.345000000001</v>
      </c>
      <c r="G990" s="26">
        <f t="shared" si="65"/>
        <v>14395.59</v>
      </c>
      <c r="H990" s="26">
        <f t="shared" si="66"/>
        <v>13595.835000000001</v>
      </c>
    </row>
    <row r="991" spans="1:8" x14ac:dyDescent="0.2">
      <c r="A991" s="31">
        <f t="shared" si="67"/>
        <v>977</v>
      </c>
      <c r="B991" s="9" t="s">
        <v>1104</v>
      </c>
      <c r="C991" s="32">
        <v>3573300203</v>
      </c>
      <c r="D991" s="1" t="s">
        <v>2033</v>
      </c>
      <c r="E991" s="36">
        <f>E12*152.9</f>
        <v>11314.6</v>
      </c>
      <c r="F991" s="36">
        <f t="shared" si="64"/>
        <v>10748.87</v>
      </c>
      <c r="G991" s="26">
        <f t="shared" si="65"/>
        <v>10183.14</v>
      </c>
      <c r="H991" s="26">
        <f t="shared" si="66"/>
        <v>9617.41</v>
      </c>
    </row>
    <row r="992" spans="1:8" x14ac:dyDescent="0.2">
      <c r="A992" s="31">
        <f t="shared" si="67"/>
        <v>978</v>
      </c>
      <c r="B992" s="9" t="s">
        <v>990</v>
      </c>
      <c r="C992" s="32">
        <v>3004600405</v>
      </c>
      <c r="D992" s="1" t="s">
        <v>2034</v>
      </c>
      <c r="E992" s="36">
        <f>E12*82</f>
        <v>6068</v>
      </c>
      <c r="F992" s="36">
        <f t="shared" si="64"/>
        <v>5764.6</v>
      </c>
      <c r="G992" s="26">
        <f t="shared" si="65"/>
        <v>5461.2</v>
      </c>
      <c r="H992" s="26">
        <f t="shared" si="66"/>
        <v>5157.8</v>
      </c>
    </row>
    <row r="993" spans="1:8" s="29" customFormat="1" x14ac:dyDescent="0.2">
      <c r="A993" s="31">
        <f t="shared" si="67"/>
        <v>979</v>
      </c>
      <c r="B993" s="32">
        <v>14985</v>
      </c>
      <c r="C993" s="32">
        <v>6273300303</v>
      </c>
      <c r="D993" s="30" t="s">
        <v>2449</v>
      </c>
      <c r="E993" s="36">
        <f>E12*55</f>
        <v>4070</v>
      </c>
      <c r="F993" s="36">
        <f t="shared" si="64"/>
        <v>3866.5</v>
      </c>
      <c r="G993" s="26">
        <f t="shared" si="65"/>
        <v>3663</v>
      </c>
      <c r="H993" s="26">
        <f t="shared" si="66"/>
        <v>3459.5</v>
      </c>
    </row>
    <row r="994" spans="1:8" x14ac:dyDescent="0.2">
      <c r="A994" s="31">
        <f t="shared" si="67"/>
        <v>980</v>
      </c>
      <c r="B994" s="9" t="s">
        <v>475</v>
      </c>
      <c r="C994" s="32">
        <v>6133330004</v>
      </c>
      <c r="D994" s="1" t="s">
        <v>2035</v>
      </c>
      <c r="E994" s="36">
        <f>E12*149.43</f>
        <v>11057.82</v>
      </c>
      <c r="F994" s="36">
        <f t="shared" si="64"/>
        <v>10504.929</v>
      </c>
      <c r="G994" s="26">
        <f t="shared" si="65"/>
        <v>9952.0380000000005</v>
      </c>
      <c r="H994" s="26">
        <f t="shared" si="66"/>
        <v>9399.146999999999</v>
      </c>
    </row>
    <row r="995" spans="1:8" x14ac:dyDescent="0.2">
      <c r="A995" s="31">
        <f t="shared" si="67"/>
        <v>981</v>
      </c>
      <c r="B995" s="9" t="s">
        <v>948</v>
      </c>
      <c r="C995" s="32">
        <v>6133330104</v>
      </c>
      <c r="D995" s="1" t="s">
        <v>2036</v>
      </c>
      <c r="E995" s="36">
        <f>E12*193</f>
        <v>14282</v>
      </c>
      <c r="F995" s="36">
        <f t="shared" si="64"/>
        <v>13567.9</v>
      </c>
      <c r="G995" s="26">
        <f t="shared" si="65"/>
        <v>12853.8</v>
      </c>
      <c r="H995" s="26">
        <f t="shared" si="66"/>
        <v>12139.7</v>
      </c>
    </row>
    <row r="996" spans="1:8" x14ac:dyDescent="0.2">
      <c r="A996" s="31">
        <f t="shared" si="67"/>
        <v>982</v>
      </c>
      <c r="B996" s="9" t="s">
        <v>951</v>
      </c>
      <c r="C996" s="32">
        <v>6133300010</v>
      </c>
      <c r="D996" s="1" t="s">
        <v>2037</v>
      </c>
      <c r="E996" s="36">
        <f>E12*247</f>
        <v>18278</v>
      </c>
      <c r="F996" s="36">
        <f t="shared" si="64"/>
        <v>17364.099999999999</v>
      </c>
      <c r="G996" s="26">
        <f t="shared" si="65"/>
        <v>16450.2</v>
      </c>
      <c r="H996" s="26">
        <f t="shared" si="66"/>
        <v>15536.3</v>
      </c>
    </row>
    <row r="997" spans="1:8" x14ac:dyDescent="0.2">
      <c r="A997" s="31">
        <f t="shared" si="67"/>
        <v>983</v>
      </c>
      <c r="B997" s="9" t="s">
        <v>873</v>
      </c>
      <c r="C997" s="32">
        <v>3563301510</v>
      </c>
      <c r="D997" s="1" t="s">
        <v>2038</v>
      </c>
      <c r="E997" s="36">
        <f>E12*247</f>
        <v>18278</v>
      </c>
      <c r="F997" s="36">
        <f t="shared" si="64"/>
        <v>17364.099999999999</v>
      </c>
      <c r="G997" s="26">
        <f t="shared" si="65"/>
        <v>16450.2</v>
      </c>
      <c r="H997" s="26">
        <f t="shared" si="66"/>
        <v>15536.3</v>
      </c>
    </row>
    <row r="998" spans="1:8" x14ac:dyDescent="0.2">
      <c r="A998" s="31">
        <f t="shared" si="67"/>
        <v>984</v>
      </c>
      <c r="B998" s="9" t="s">
        <v>1016</v>
      </c>
      <c r="C998" s="32" t="s">
        <v>2040</v>
      </c>
      <c r="D998" s="1" t="s">
        <v>2039</v>
      </c>
      <c r="E998" s="36">
        <f>E12*345.9</f>
        <v>25596.6</v>
      </c>
      <c r="F998" s="36">
        <f t="shared" si="64"/>
        <v>24316.769999999997</v>
      </c>
      <c r="G998" s="26">
        <f t="shared" si="65"/>
        <v>23036.94</v>
      </c>
      <c r="H998" s="26">
        <f t="shared" si="66"/>
        <v>21757.11</v>
      </c>
    </row>
    <row r="999" spans="1:8" x14ac:dyDescent="0.2">
      <c r="A999" s="31">
        <f t="shared" si="67"/>
        <v>985</v>
      </c>
      <c r="B999" s="9" t="s">
        <v>1164</v>
      </c>
      <c r="C999" s="32">
        <v>8226147000</v>
      </c>
      <c r="D999" s="1" t="s">
        <v>2046</v>
      </c>
      <c r="E999" s="36">
        <f>E12*66.58</f>
        <v>4926.92</v>
      </c>
      <c r="F999" s="36">
        <f t="shared" si="64"/>
        <v>4680.5740000000005</v>
      </c>
      <c r="G999" s="26">
        <f t="shared" si="65"/>
        <v>4434.2280000000001</v>
      </c>
      <c r="H999" s="26">
        <f t="shared" si="66"/>
        <v>4187.8819999999996</v>
      </c>
    </row>
    <row r="1000" spans="1:8" s="29" customFormat="1" x14ac:dyDescent="0.2">
      <c r="A1000" s="31">
        <f t="shared" si="67"/>
        <v>986</v>
      </c>
      <c r="B1000" s="32" t="s">
        <v>2452</v>
      </c>
      <c r="C1000" s="32">
        <v>81467116876</v>
      </c>
      <c r="D1000" s="30" t="s">
        <v>2451</v>
      </c>
      <c r="E1000" s="36">
        <f>E12*65.26</f>
        <v>4829.2400000000007</v>
      </c>
      <c r="F1000" s="36">
        <f t="shared" si="64"/>
        <v>4587.7780000000002</v>
      </c>
      <c r="G1000" s="26">
        <f t="shared" si="65"/>
        <v>4346.3160000000007</v>
      </c>
      <c r="H1000" s="26">
        <f t="shared" si="66"/>
        <v>4104.8540000000003</v>
      </c>
    </row>
    <row r="1001" spans="1:8" s="29" customFormat="1" x14ac:dyDescent="0.2">
      <c r="A1001" s="31">
        <f t="shared" si="67"/>
        <v>987</v>
      </c>
      <c r="B1001" s="32">
        <v>101425</v>
      </c>
      <c r="C1001" s="32" t="s">
        <v>1424</v>
      </c>
      <c r="D1001" s="30" t="s">
        <v>1423</v>
      </c>
      <c r="E1001" s="36">
        <f>E12*0.81</f>
        <v>59.940000000000005</v>
      </c>
      <c r="F1001" s="36">
        <f t="shared" si="64"/>
        <v>56.943000000000005</v>
      </c>
      <c r="G1001" s="26">
        <f t="shared" si="65"/>
        <v>53.946000000000005</v>
      </c>
      <c r="H1001" s="26">
        <f t="shared" si="66"/>
        <v>50.949000000000005</v>
      </c>
    </row>
    <row r="1002" spans="1:8" s="29" customFormat="1" x14ac:dyDescent="0.2">
      <c r="A1002" s="31">
        <f t="shared" si="67"/>
        <v>988</v>
      </c>
      <c r="B1002" s="32" t="s">
        <v>246</v>
      </c>
      <c r="C1002" s="32" t="s">
        <v>1426</v>
      </c>
      <c r="D1002" s="30" t="s">
        <v>1425</v>
      </c>
      <c r="E1002" s="36">
        <f>E12*0.81</f>
        <v>59.940000000000005</v>
      </c>
      <c r="F1002" s="36">
        <f t="shared" si="64"/>
        <v>56.943000000000005</v>
      </c>
      <c r="G1002" s="26">
        <f t="shared" si="65"/>
        <v>53.946000000000005</v>
      </c>
      <c r="H1002" s="26">
        <f t="shared" si="66"/>
        <v>50.949000000000005</v>
      </c>
    </row>
    <row r="1003" spans="1:8" s="29" customFormat="1" x14ac:dyDescent="0.2">
      <c r="A1003" s="31">
        <f t="shared" si="67"/>
        <v>989</v>
      </c>
      <c r="B1003" s="32" t="s">
        <v>725</v>
      </c>
      <c r="C1003" s="32"/>
      <c r="D1003" s="30" t="s">
        <v>1427</v>
      </c>
      <c r="E1003" s="36">
        <f>E12*1.13</f>
        <v>83.61999999999999</v>
      </c>
      <c r="F1003" s="36">
        <f t="shared" si="64"/>
        <v>79.438999999999993</v>
      </c>
      <c r="G1003" s="26">
        <f t="shared" si="65"/>
        <v>75.257999999999996</v>
      </c>
      <c r="H1003" s="26">
        <f t="shared" si="66"/>
        <v>71.076999999999998</v>
      </c>
    </row>
    <row r="1004" spans="1:8" s="29" customFormat="1" x14ac:dyDescent="0.2">
      <c r="A1004" s="31">
        <f t="shared" si="67"/>
        <v>990</v>
      </c>
      <c r="B1004" s="32" t="s">
        <v>726</v>
      </c>
      <c r="C1004" s="32"/>
      <c r="D1004" s="30" t="s">
        <v>1428</v>
      </c>
      <c r="E1004" s="36">
        <f>E12*0.85</f>
        <v>62.9</v>
      </c>
      <c r="F1004" s="36">
        <f t="shared" si="64"/>
        <v>59.754999999999995</v>
      </c>
      <c r="G1004" s="26">
        <f t="shared" si="65"/>
        <v>56.61</v>
      </c>
      <c r="H1004" s="26">
        <f t="shared" si="66"/>
        <v>53.465000000000003</v>
      </c>
    </row>
    <row r="1005" spans="1:8" s="29" customFormat="1" x14ac:dyDescent="0.2">
      <c r="A1005" s="31">
        <f t="shared" si="67"/>
        <v>991</v>
      </c>
      <c r="B1005" s="32" t="s">
        <v>727</v>
      </c>
      <c r="C1005" s="32"/>
      <c r="D1005" s="30" t="s">
        <v>1429</v>
      </c>
      <c r="E1005" s="36">
        <f>E12*0.58</f>
        <v>42.919999999999995</v>
      </c>
      <c r="F1005" s="36">
        <f t="shared" si="64"/>
        <v>40.773999999999994</v>
      </c>
      <c r="G1005" s="26">
        <f t="shared" si="65"/>
        <v>38.627999999999993</v>
      </c>
      <c r="H1005" s="26">
        <f t="shared" si="66"/>
        <v>36.481999999999999</v>
      </c>
    </row>
    <row r="1006" spans="1:8" x14ac:dyDescent="0.2">
      <c r="A1006" s="31">
        <f t="shared" si="67"/>
        <v>992</v>
      </c>
      <c r="B1006" s="9" t="s">
        <v>79</v>
      </c>
      <c r="C1006" s="32" t="s">
        <v>1264</v>
      </c>
      <c r="D1006" s="1" t="s">
        <v>1606</v>
      </c>
      <c r="E1006" s="36">
        <f>E12*34.25</f>
        <v>2534.5</v>
      </c>
      <c r="F1006" s="36">
        <f t="shared" si="64"/>
        <v>2407.7750000000001</v>
      </c>
      <c r="G1006" s="26">
        <f t="shared" si="65"/>
        <v>2281.0500000000002</v>
      </c>
      <c r="H1006" s="26">
        <f t="shared" si="66"/>
        <v>2154.3249999999998</v>
      </c>
    </row>
    <row r="1007" spans="1:8" x14ac:dyDescent="0.2">
      <c r="A1007" s="31">
        <f t="shared" si="67"/>
        <v>993</v>
      </c>
      <c r="B1007" s="9" t="s">
        <v>195</v>
      </c>
      <c r="C1007" s="32" t="s">
        <v>1285</v>
      </c>
      <c r="D1007" s="1" t="s">
        <v>1608</v>
      </c>
      <c r="E1007" s="36">
        <f>E12*36.4</f>
        <v>2693.6</v>
      </c>
      <c r="F1007" s="36">
        <f t="shared" si="64"/>
        <v>2558.92</v>
      </c>
      <c r="G1007" s="26">
        <f t="shared" si="65"/>
        <v>2424.2399999999998</v>
      </c>
      <c r="H1007" s="26">
        <f t="shared" si="66"/>
        <v>2289.56</v>
      </c>
    </row>
    <row r="1008" spans="1:8" x14ac:dyDescent="0.2">
      <c r="A1008" s="31">
        <f t="shared" si="67"/>
        <v>994</v>
      </c>
      <c r="B1008" s="9" t="s">
        <v>624</v>
      </c>
      <c r="C1008" s="32">
        <v>8383290000</v>
      </c>
      <c r="D1008" s="1" t="s">
        <v>1607</v>
      </c>
      <c r="E1008" s="36">
        <f>E12*36.4</f>
        <v>2693.6</v>
      </c>
      <c r="F1008" s="36">
        <f t="shared" si="64"/>
        <v>2558.92</v>
      </c>
      <c r="G1008" s="26">
        <f t="shared" si="65"/>
        <v>2424.2399999999998</v>
      </c>
      <c r="H1008" s="26">
        <f t="shared" si="66"/>
        <v>2289.56</v>
      </c>
    </row>
    <row r="1009" spans="1:8" x14ac:dyDescent="0.2">
      <c r="A1009" s="31">
        <f t="shared" si="67"/>
        <v>995</v>
      </c>
      <c r="B1009" s="9">
        <v>244000</v>
      </c>
      <c r="C1009" s="32">
        <v>81307166044</v>
      </c>
      <c r="D1009" s="17" t="s">
        <v>1610</v>
      </c>
      <c r="E1009" s="36">
        <f>E12*32</f>
        <v>2368</v>
      </c>
      <c r="F1009" s="36">
        <f t="shared" si="64"/>
        <v>2249.6</v>
      </c>
      <c r="G1009" s="26">
        <f t="shared" si="65"/>
        <v>2131.1999999999998</v>
      </c>
      <c r="H1009" s="26">
        <f t="shared" si="66"/>
        <v>2012.8</v>
      </c>
    </row>
    <row r="1010" spans="1:8" x14ac:dyDescent="0.2">
      <c r="A1010" s="31">
        <f t="shared" si="67"/>
        <v>996</v>
      </c>
      <c r="B1010" s="9">
        <v>345003</v>
      </c>
      <c r="C1010" s="32">
        <v>8282211000</v>
      </c>
      <c r="D1010" s="17" t="s">
        <v>1609</v>
      </c>
      <c r="E1010" s="36">
        <f>E12*36.1</f>
        <v>2671.4</v>
      </c>
      <c r="F1010" s="36">
        <f t="shared" si="64"/>
        <v>2537.83</v>
      </c>
      <c r="G1010" s="26">
        <f t="shared" si="65"/>
        <v>2404.2600000000002</v>
      </c>
      <c r="H1010" s="26">
        <f t="shared" si="66"/>
        <v>2270.69</v>
      </c>
    </row>
    <row r="1011" spans="1:8" s="29" customFormat="1" x14ac:dyDescent="0.2">
      <c r="A1011" s="31">
        <f t="shared" si="67"/>
        <v>997</v>
      </c>
      <c r="B1011" s="32" t="s">
        <v>1632</v>
      </c>
      <c r="C1011" s="32" t="s">
        <v>1634</v>
      </c>
      <c r="D1011" s="17" t="s">
        <v>1633</v>
      </c>
      <c r="E1011" s="36">
        <f>E12*130</f>
        <v>9620</v>
      </c>
      <c r="F1011" s="36">
        <f t="shared" si="64"/>
        <v>9139</v>
      </c>
      <c r="G1011" s="26">
        <f t="shared" si="65"/>
        <v>8658</v>
      </c>
      <c r="H1011" s="26">
        <f t="shared" si="66"/>
        <v>8177</v>
      </c>
    </row>
    <row r="1012" spans="1:8" x14ac:dyDescent="0.2">
      <c r="A1012" s="31">
        <f t="shared" si="67"/>
        <v>998</v>
      </c>
      <c r="B1012" s="9" t="s">
        <v>291</v>
      </c>
      <c r="C1012" s="32"/>
      <c r="D1012" s="1" t="s">
        <v>290</v>
      </c>
      <c r="E1012" s="36">
        <f>E12*0.3</f>
        <v>22.2</v>
      </c>
      <c r="F1012" s="36">
        <f t="shared" si="64"/>
        <v>21.09</v>
      </c>
      <c r="G1012" s="26">
        <f t="shared" si="65"/>
        <v>19.98</v>
      </c>
      <c r="H1012" s="26">
        <f t="shared" si="66"/>
        <v>18.87</v>
      </c>
    </row>
    <row r="1013" spans="1:8" x14ac:dyDescent="0.2">
      <c r="A1013" s="31">
        <f t="shared" si="67"/>
        <v>999</v>
      </c>
      <c r="B1013" s="9" t="s">
        <v>288</v>
      </c>
      <c r="C1013" s="32"/>
      <c r="D1013" s="1" t="s">
        <v>289</v>
      </c>
      <c r="E1013" s="36">
        <f>E12*0.34</f>
        <v>25.16</v>
      </c>
      <c r="F1013" s="36">
        <f t="shared" ref="F1013:F1019" si="68">E1013-E1013*5%</f>
        <v>23.902000000000001</v>
      </c>
      <c r="G1013" s="26">
        <f t="shared" ref="G1013:G1064" si="69">E1013-E1013*10%</f>
        <v>22.643999999999998</v>
      </c>
      <c r="H1013" s="26">
        <f t="shared" ref="H1013:H1064" si="70">E1013-E1013*15%</f>
        <v>21.385999999999999</v>
      </c>
    </row>
    <row r="1014" spans="1:8" x14ac:dyDescent="0.2">
      <c r="A1014" s="31">
        <f t="shared" si="67"/>
        <v>1000</v>
      </c>
      <c r="B1014" s="9" t="s">
        <v>938</v>
      </c>
      <c r="C1014" s="32">
        <v>3174020175</v>
      </c>
      <c r="D1014" s="1" t="s">
        <v>2047</v>
      </c>
      <c r="E1014" s="36">
        <f>E12*0.39</f>
        <v>28.86</v>
      </c>
      <c r="F1014" s="36">
        <f t="shared" si="68"/>
        <v>27.416999999999998</v>
      </c>
      <c r="G1014" s="26">
        <f t="shared" si="69"/>
        <v>25.974</v>
      </c>
      <c r="H1014" s="26">
        <f t="shared" si="70"/>
        <v>24.530999999999999</v>
      </c>
    </row>
    <row r="1015" spans="1:8" x14ac:dyDescent="0.2">
      <c r="A1015" s="31">
        <f t="shared" si="67"/>
        <v>1001</v>
      </c>
      <c r="B1015" s="9" t="s">
        <v>939</v>
      </c>
      <c r="C1015" s="32" t="s">
        <v>2049</v>
      </c>
      <c r="D1015" s="1" t="s">
        <v>2048</v>
      </c>
      <c r="E1015" s="36">
        <f>E12*0.39</f>
        <v>28.86</v>
      </c>
      <c r="F1015" s="36">
        <f t="shared" si="68"/>
        <v>27.416999999999998</v>
      </c>
      <c r="G1015" s="26">
        <f t="shared" si="69"/>
        <v>25.974</v>
      </c>
      <c r="H1015" s="26">
        <f t="shared" si="70"/>
        <v>24.530999999999999</v>
      </c>
    </row>
    <row r="1016" spans="1:8" x14ac:dyDescent="0.2">
      <c r="A1016" s="31">
        <f t="shared" si="67"/>
        <v>1002</v>
      </c>
      <c r="B1016" s="9" t="s">
        <v>945</v>
      </c>
      <c r="C1016" s="32">
        <v>3043220962</v>
      </c>
      <c r="D1016" s="1" t="s">
        <v>2050</v>
      </c>
      <c r="E1016" s="36">
        <f>E12*0.86</f>
        <v>63.64</v>
      </c>
      <c r="F1016" s="36">
        <f t="shared" si="68"/>
        <v>60.457999999999998</v>
      </c>
      <c r="G1016" s="26">
        <f t="shared" si="69"/>
        <v>57.275999999999996</v>
      </c>
      <c r="H1016" s="26">
        <f t="shared" si="70"/>
        <v>54.094000000000001</v>
      </c>
    </row>
    <row r="1017" spans="1:8" x14ac:dyDescent="0.2">
      <c r="A1017" s="31">
        <f t="shared" si="67"/>
        <v>1003</v>
      </c>
      <c r="B1017" s="9" t="s">
        <v>1205</v>
      </c>
      <c r="C1017" s="32">
        <v>3173330162</v>
      </c>
      <c r="D1017" s="1" t="s">
        <v>2051</v>
      </c>
      <c r="E1017" s="36">
        <f>E12*4.55</f>
        <v>336.7</v>
      </c>
      <c r="F1017" s="36">
        <f t="shared" si="68"/>
        <v>319.86500000000001</v>
      </c>
      <c r="G1017" s="26">
        <f t="shared" si="69"/>
        <v>303.02999999999997</v>
      </c>
      <c r="H1017" s="26">
        <f t="shared" si="70"/>
        <v>286.19499999999999</v>
      </c>
    </row>
    <row r="1018" spans="1:8" s="29" customFormat="1" x14ac:dyDescent="0.2">
      <c r="A1018" s="31">
        <f t="shared" si="67"/>
        <v>1004</v>
      </c>
      <c r="B1018" s="32">
        <v>106909</v>
      </c>
      <c r="C1018" s="32">
        <v>3880170160</v>
      </c>
      <c r="D1018" s="30" t="s">
        <v>1430</v>
      </c>
      <c r="E1018" s="36">
        <f>E12*0.21</f>
        <v>15.54</v>
      </c>
      <c r="F1018" s="36">
        <f t="shared" si="68"/>
        <v>14.763</v>
      </c>
      <c r="G1018" s="26">
        <f t="shared" si="69"/>
        <v>13.985999999999999</v>
      </c>
      <c r="H1018" s="26">
        <f t="shared" si="70"/>
        <v>13.209</v>
      </c>
    </row>
    <row r="1019" spans="1:8" x14ac:dyDescent="0.2">
      <c r="A1019" s="31">
        <f t="shared" si="67"/>
        <v>1005</v>
      </c>
      <c r="B1019" s="9" t="s">
        <v>470</v>
      </c>
      <c r="C1019" s="32">
        <v>4421310217</v>
      </c>
      <c r="D1019" s="1" t="s">
        <v>2052</v>
      </c>
      <c r="E1019" s="36">
        <f>E12*19.85</f>
        <v>1468.9</v>
      </c>
      <c r="F1019" s="36">
        <f t="shared" si="68"/>
        <v>1395.4550000000002</v>
      </c>
      <c r="G1019" s="26">
        <f t="shared" si="69"/>
        <v>1322.01</v>
      </c>
      <c r="H1019" s="26">
        <f t="shared" si="70"/>
        <v>1248.5650000000001</v>
      </c>
    </row>
    <row r="1020" spans="1:8" x14ac:dyDescent="0.2">
      <c r="A1020" s="31">
        <f t="shared" si="67"/>
        <v>1006</v>
      </c>
      <c r="B1020" s="9" t="s">
        <v>887</v>
      </c>
      <c r="C1020" s="32">
        <v>4421310217</v>
      </c>
      <c r="D1020" s="1" t="s">
        <v>2053</v>
      </c>
      <c r="E1020" s="36">
        <f>E12*21.45</f>
        <v>1587.3</v>
      </c>
      <c r="F1020" s="36">
        <f t="shared" ref="F1020:F1064" si="71">E1020-E1020*5%</f>
        <v>1507.9349999999999</v>
      </c>
      <c r="G1020" s="26">
        <f t="shared" si="69"/>
        <v>1428.57</v>
      </c>
      <c r="H1020" s="26">
        <f t="shared" si="70"/>
        <v>1349.2049999999999</v>
      </c>
    </row>
    <row r="1021" spans="1:8" x14ac:dyDescent="0.2">
      <c r="A1021" s="31">
        <f t="shared" si="67"/>
        <v>1007</v>
      </c>
      <c r="B1021" s="9" t="s">
        <v>1186</v>
      </c>
      <c r="C1021" s="32">
        <v>4422000770</v>
      </c>
      <c r="D1021" s="1" t="s">
        <v>2055</v>
      </c>
      <c r="E1021" s="36">
        <f>E12*27.3</f>
        <v>2020.2</v>
      </c>
      <c r="F1021" s="36">
        <f t="shared" si="71"/>
        <v>1919.19</v>
      </c>
      <c r="G1021" s="26">
        <f t="shared" si="69"/>
        <v>1818.18</v>
      </c>
      <c r="H1021" s="26">
        <f t="shared" si="70"/>
        <v>1717.17</v>
      </c>
    </row>
    <row r="1022" spans="1:8" x14ac:dyDescent="0.2">
      <c r="A1022" s="31">
        <f t="shared" si="67"/>
        <v>1008</v>
      </c>
      <c r="B1022" s="9" t="s">
        <v>1288</v>
      </c>
      <c r="C1022" s="32" t="s">
        <v>2057</v>
      </c>
      <c r="D1022" s="1" t="s">
        <v>2056</v>
      </c>
      <c r="E1022" s="36">
        <f>E12*27.3</f>
        <v>2020.2</v>
      </c>
      <c r="F1022" s="36">
        <f t="shared" si="71"/>
        <v>1919.19</v>
      </c>
      <c r="G1022" s="26">
        <f t="shared" si="69"/>
        <v>1818.18</v>
      </c>
      <c r="H1022" s="26">
        <f t="shared" si="70"/>
        <v>1717.17</v>
      </c>
    </row>
    <row r="1023" spans="1:8" x14ac:dyDescent="0.2">
      <c r="A1023" s="31">
        <f t="shared" si="67"/>
        <v>1009</v>
      </c>
      <c r="B1023" s="9" t="s">
        <v>1189</v>
      </c>
      <c r="C1023" s="32">
        <v>4422000770</v>
      </c>
      <c r="D1023" s="1" t="s">
        <v>2058</v>
      </c>
      <c r="E1023" s="36">
        <f>E12*25.5</f>
        <v>1887</v>
      </c>
      <c r="F1023" s="36">
        <f t="shared" si="71"/>
        <v>1792.65</v>
      </c>
      <c r="G1023" s="26">
        <f t="shared" si="69"/>
        <v>1698.3</v>
      </c>
      <c r="H1023" s="26">
        <f t="shared" si="70"/>
        <v>1603.95</v>
      </c>
    </row>
    <row r="1024" spans="1:8" x14ac:dyDescent="0.2">
      <c r="A1024" s="31">
        <f t="shared" si="67"/>
        <v>1010</v>
      </c>
      <c r="B1024" s="9" t="s">
        <v>1272</v>
      </c>
      <c r="C1024" s="32" t="s">
        <v>2060</v>
      </c>
      <c r="D1024" s="1" t="s">
        <v>2059</v>
      </c>
      <c r="E1024" s="36">
        <f>E12*16.4</f>
        <v>1213.5999999999999</v>
      </c>
      <c r="F1024" s="36">
        <f t="shared" si="71"/>
        <v>1152.9199999999998</v>
      </c>
      <c r="G1024" s="26">
        <f t="shared" si="69"/>
        <v>1092.24</v>
      </c>
      <c r="H1024" s="26">
        <f t="shared" si="70"/>
        <v>1031.56</v>
      </c>
    </row>
    <row r="1025" spans="1:8" x14ac:dyDescent="0.2">
      <c r="A1025" s="31">
        <f t="shared" si="67"/>
        <v>1011</v>
      </c>
      <c r="B1025" s="9" t="s">
        <v>1197</v>
      </c>
      <c r="C1025" s="32" t="s">
        <v>2062</v>
      </c>
      <c r="D1025" s="1" t="s">
        <v>2061</v>
      </c>
      <c r="E1025" s="36">
        <f>E12*23.6</f>
        <v>1746.4</v>
      </c>
      <c r="F1025" s="36">
        <f t="shared" si="71"/>
        <v>1659.0800000000002</v>
      </c>
      <c r="G1025" s="26">
        <f t="shared" si="69"/>
        <v>1571.76</v>
      </c>
      <c r="H1025" s="26">
        <f t="shared" si="70"/>
        <v>1484.44</v>
      </c>
    </row>
    <row r="1026" spans="1:8" x14ac:dyDescent="0.2">
      <c r="A1026" s="31">
        <f t="shared" si="67"/>
        <v>1012</v>
      </c>
      <c r="B1026" s="9" t="s">
        <v>2064</v>
      </c>
      <c r="C1026" s="32" t="s">
        <v>2062</v>
      </c>
      <c r="D1026" s="1" t="s">
        <v>2063</v>
      </c>
      <c r="E1026" s="36">
        <f>E12*23.66</f>
        <v>1750.84</v>
      </c>
      <c r="F1026" s="36">
        <f t="shared" si="71"/>
        <v>1663.298</v>
      </c>
      <c r="G1026" s="26">
        <f t="shared" si="69"/>
        <v>1575.7559999999999</v>
      </c>
      <c r="H1026" s="26">
        <f t="shared" si="70"/>
        <v>1488.2139999999999</v>
      </c>
    </row>
    <row r="1027" spans="1:8" x14ac:dyDescent="0.2">
      <c r="A1027" s="31">
        <f t="shared" si="67"/>
        <v>1013</v>
      </c>
      <c r="B1027" s="9" t="s">
        <v>196</v>
      </c>
      <c r="C1027" s="32"/>
      <c r="D1027" s="1" t="s">
        <v>268</v>
      </c>
      <c r="E1027" s="36">
        <f>E12*33.1</f>
        <v>2449.4</v>
      </c>
      <c r="F1027" s="36">
        <f t="shared" si="71"/>
        <v>2326.9300000000003</v>
      </c>
      <c r="G1027" s="26">
        <f t="shared" si="69"/>
        <v>2204.46</v>
      </c>
      <c r="H1027" s="26">
        <f t="shared" si="70"/>
        <v>2081.9900000000002</v>
      </c>
    </row>
    <row r="1028" spans="1:8" x14ac:dyDescent="0.2">
      <c r="A1028" s="31">
        <f t="shared" si="67"/>
        <v>1014</v>
      </c>
      <c r="B1028" s="9" t="s">
        <v>1072</v>
      </c>
      <c r="C1028" s="32"/>
      <c r="D1028" s="1" t="s">
        <v>1073</v>
      </c>
      <c r="E1028" s="36">
        <f>E12*11.85</f>
        <v>876.9</v>
      </c>
      <c r="F1028" s="36">
        <f t="shared" si="71"/>
        <v>833.05499999999995</v>
      </c>
      <c r="G1028" s="26">
        <f t="shared" si="69"/>
        <v>789.21</v>
      </c>
      <c r="H1028" s="26">
        <f t="shared" si="70"/>
        <v>745.36500000000001</v>
      </c>
    </row>
    <row r="1029" spans="1:8" x14ac:dyDescent="0.2">
      <c r="A1029" s="31">
        <f t="shared" si="67"/>
        <v>1015</v>
      </c>
      <c r="B1029" s="9" t="s">
        <v>154</v>
      </c>
      <c r="C1029" s="32"/>
      <c r="D1029" s="1" t="s">
        <v>620</v>
      </c>
      <c r="E1029" s="36">
        <f>E12*4.85</f>
        <v>358.9</v>
      </c>
      <c r="F1029" s="36">
        <f t="shared" si="71"/>
        <v>340.95499999999998</v>
      </c>
      <c r="G1029" s="26">
        <f t="shared" si="69"/>
        <v>323.01</v>
      </c>
      <c r="H1029" s="26">
        <f t="shared" si="70"/>
        <v>305.065</v>
      </c>
    </row>
    <row r="1030" spans="1:8" x14ac:dyDescent="0.2">
      <c r="A1030" s="31">
        <f t="shared" si="67"/>
        <v>1016</v>
      </c>
      <c r="B1030" s="9" t="s">
        <v>697</v>
      </c>
      <c r="C1030" s="32">
        <v>4270700055</v>
      </c>
      <c r="D1030" s="3" t="s">
        <v>2065</v>
      </c>
      <c r="E1030" s="36">
        <f>E12*45.5</f>
        <v>3367</v>
      </c>
      <c r="F1030" s="36">
        <f t="shared" si="71"/>
        <v>3198.65</v>
      </c>
      <c r="G1030" s="26">
        <f t="shared" si="69"/>
        <v>3030.3</v>
      </c>
      <c r="H1030" s="26">
        <f t="shared" si="70"/>
        <v>2861.95</v>
      </c>
    </row>
    <row r="1031" spans="1:8" x14ac:dyDescent="0.2">
      <c r="A1031" s="31">
        <f t="shared" si="67"/>
        <v>1017</v>
      </c>
      <c r="B1031" s="9" t="s">
        <v>1200</v>
      </c>
      <c r="C1031" s="32" t="s">
        <v>2067</v>
      </c>
      <c r="D1031" s="3" t="s">
        <v>2066</v>
      </c>
      <c r="E1031" s="36">
        <f>E12*20.1</f>
        <v>1487.4</v>
      </c>
      <c r="F1031" s="36">
        <f t="shared" si="71"/>
        <v>1413.0300000000002</v>
      </c>
      <c r="G1031" s="26">
        <f t="shared" si="69"/>
        <v>1338.66</v>
      </c>
      <c r="H1031" s="26">
        <f t="shared" si="70"/>
        <v>1264.29</v>
      </c>
    </row>
    <row r="1032" spans="1:8" x14ac:dyDescent="0.2">
      <c r="A1032" s="31">
        <f t="shared" si="67"/>
        <v>1018</v>
      </c>
      <c r="B1032" s="9" t="s">
        <v>197</v>
      </c>
      <c r="C1032" s="32"/>
      <c r="D1032" s="3" t="s">
        <v>2068</v>
      </c>
      <c r="E1032" s="36">
        <f>E12*11.38</f>
        <v>842.12</v>
      </c>
      <c r="F1032" s="36">
        <f t="shared" si="71"/>
        <v>800.01400000000001</v>
      </c>
      <c r="G1032" s="26">
        <f t="shared" si="69"/>
        <v>757.90800000000002</v>
      </c>
      <c r="H1032" s="26">
        <f t="shared" si="70"/>
        <v>715.80200000000002</v>
      </c>
    </row>
    <row r="1033" spans="1:8" x14ac:dyDescent="0.2">
      <c r="A1033" s="31">
        <f t="shared" si="67"/>
        <v>1019</v>
      </c>
      <c r="B1033" s="9" t="s">
        <v>198</v>
      </c>
      <c r="C1033" s="32"/>
      <c r="D1033" s="3" t="s">
        <v>51</v>
      </c>
      <c r="E1033" s="36">
        <f>E12*13.65</f>
        <v>1010.1</v>
      </c>
      <c r="F1033" s="36">
        <f t="shared" si="71"/>
        <v>959.59500000000003</v>
      </c>
      <c r="G1033" s="26">
        <f t="shared" si="69"/>
        <v>909.09</v>
      </c>
      <c r="H1033" s="26">
        <f t="shared" si="70"/>
        <v>858.58500000000004</v>
      </c>
    </row>
    <row r="1034" spans="1:8" x14ac:dyDescent="0.2">
      <c r="A1034" s="31">
        <f t="shared" si="67"/>
        <v>1020</v>
      </c>
      <c r="B1034" s="9" t="s">
        <v>329</v>
      </c>
      <c r="C1034" s="32"/>
      <c r="D1034" s="3" t="s">
        <v>330</v>
      </c>
      <c r="E1034" s="36">
        <f>E12*11.85</f>
        <v>876.9</v>
      </c>
      <c r="F1034" s="36">
        <f t="shared" si="71"/>
        <v>833.05499999999995</v>
      </c>
      <c r="G1034" s="26">
        <f t="shared" si="69"/>
        <v>789.21</v>
      </c>
      <c r="H1034" s="26">
        <f t="shared" si="70"/>
        <v>745.36500000000001</v>
      </c>
    </row>
    <row r="1035" spans="1:8" x14ac:dyDescent="0.2">
      <c r="A1035" s="31">
        <f t="shared" si="67"/>
        <v>1021</v>
      </c>
      <c r="B1035" s="9" t="s">
        <v>325</v>
      </c>
      <c r="C1035" s="32"/>
      <c r="D1035" s="3" t="s">
        <v>324</v>
      </c>
      <c r="E1035" s="36">
        <f>E12*11.46</f>
        <v>848.04000000000008</v>
      </c>
      <c r="F1035" s="36">
        <f t="shared" si="71"/>
        <v>805.63800000000003</v>
      </c>
      <c r="G1035" s="26">
        <f t="shared" si="69"/>
        <v>763.2360000000001</v>
      </c>
      <c r="H1035" s="26">
        <f t="shared" si="70"/>
        <v>720.83400000000006</v>
      </c>
    </row>
    <row r="1036" spans="1:8" x14ac:dyDescent="0.2">
      <c r="A1036" s="31">
        <f t="shared" si="67"/>
        <v>1022</v>
      </c>
      <c r="B1036" s="9" t="s">
        <v>326</v>
      </c>
      <c r="C1036" s="32"/>
      <c r="D1036" s="3" t="s">
        <v>323</v>
      </c>
      <c r="E1036" s="39">
        <f>E12*11.7</f>
        <v>865.8</v>
      </c>
      <c r="F1036" s="36">
        <f t="shared" si="71"/>
        <v>822.51</v>
      </c>
      <c r="G1036" s="26">
        <f t="shared" si="69"/>
        <v>779.21999999999991</v>
      </c>
      <c r="H1036" s="26">
        <f t="shared" si="70"/>
        <v>735.93</v>
      </c>
    </row>
    <row r="1037" spans="1:8" x14ac:dyDescent="0.2">
      <c r="A1037" s="31">
        <f t="shared" si="67"/>
        <v>1023</v>
      </c>
      <c r="B1037" s="9" t="s">
        <v>1012</v>
      </c>
      <c r="C1037" s="32"/>
      <c r="D1037" s="3" t="s">
        <v>327</v>
      </c>
      <c r="E1037" s="36">
        <f>E12*13.65</f>
        <v>1010.1</v>
      </c>
      <c r="F1037" s="36">
        <f t="shared" si="71"/>
        <v>959.59500000000003</v>
      </c>
      <c r="G1037" s="26">
        <f t="shared" si="69"/>
        <v>909.09</v>
      </c>
      <c r="H1037" s="26">
        <f t="shared" si="70"/>
        <v>858.58500000000004</v>
      </c>
    </row>
    <row r="1038" spans="1:8" x14ac:dyDescent="0.2">
      <c r="A1038" s="31">
        <f t="shared" si="67"/>
        <v>1024</v>
      </c>
      <c r="B1038" s="9" t="s">
        <v>1107</v>
      </c>
      <c r="C1038" s="32" t="s">
        <v>2070</v>
      </c>
      <c r="D1038" s="3" t="s">
        <v>2069</v>
      </c>
      <c r="E1038" s="36">
        <f>E12*18.2</f>
        <v>1346.8</v>
      </c>
      <c r="F1038" s="36">
        <f t="shared" si="71"/>
        <v>1279.46</v>
      </c>
      <c r="G1038" s="26">
        <f t="shared" si="69"/>
        <v>1212.1199999999999</v>
      </c>
      <c r="H1038" s="26">
        <f t="shared" si="70"/>
        <v>1144.78</v>
      </c>
    </row>
    <row r="1039" spans="1:8" x14ac:dyDescent="0.2">
      <c r="A1039" s="31">
        <f t="shared" si="67"/>
        <v>1025</v>
      </c>
      <c r="B1039" s="9" t="s">
        <v>487</v>
      </c>
      <c r="C1039" s="32"/>
      <c r="D1039" s="3" t="s">
        <v>61</v>
      </c>
      <c r="E1039" s="36">
        <f>E12*9.75</f>
        <v>721.5</v>
      </c>
      <c r="F1039" s="36">
        <f t="shared" si="71"/>
        <v>685.42499999999995</v>
      </c>
      <c r="G1039" s="26">
        <f t="shared" si="69"/>
        <v>649.35</v>
      </c>
      <c r="H1039" s="26">
        <f t="shared" si="70"/>
        <v>613.27499999999998</v>
      </c>
    </row>
    <row r="1040" spans="1:8" x14ac:dyDescent="0.2">
      <c r="A1040" s="31">
        <f t="shared" si="67"/>
        <v>1026</v>
      </c>
      <c r="B1040" s="9" t="s">
        <v>1199</v>
      </c>
      <c r="C1040" s="32"/>
      <c r="D1040" s="3" t="s">
        <v>60</v>
      </c>
      <c r="E1040" s="36">
        <f>E12*13.65</f>
        <v>1010.1</v>
      </c>
      <c r="F1040" s="36">
        <f t="shared" si="71"/>
        <v>959.59500000000003</v>
      </c>
      <c r="G1040" s="26">
        <f t="shared" si="69"/>
        <v>909.09</v>
      </c>
      <c r="H1040" s="26">
        <f t="shared" si="70"/>
        <v>858.58500000000004</v>
      </c>
    </row>
    <row r="1041" spans="1:8" x14ac:dyDescent="0.2">
      <c r="A1041" s="31">
        <f t="shared" ref="A1041:A1104" si="72">A1040+1</f>
        <v>1027</v>
      </c>
      <c r="B1041" s="9" t="s">
        <v>199</v>
      </c>
      <c r="C1041" s="32"/>
      <c r="D1041" s="3" t="s">
        <v>43</v>
      </c>
      <c r="E1041" s="36">
        <f>E12*10.74</f>
        <v>794.76</v>
      </c>
      <c r="F1041" s="36">
        <f t="shared" si="71"/>
        <v>755.02199999999993</v>
      </c>
      <c r="G1041" s="26">
        <f t="shared" si="69"/>
        <v>715.28399999999999</v>
      </c>
      <c r="H1041" s="26">
        <f t="shared" si="70"/>
        <v>675.54600000000005</v>
      </c>
    </row>
    <row r="1042" spans="1:8" x14ac:dyDescent="0.2">
      <c r="A1042" s="31">
        <f t="shared" si="72"/>
        <v>1028</v>
      </c>
      <c r="B1042" s="9" t="s">
        <v>1070</v>
      </c>
      <c r="C1042" s="32" t="s">
        <v>2072</v>
      </c>
      <c r="D1042" s="3" t="s">
        <v>2071</v>
      </c>
      <c r="E1042" s="36">
        <f>E12*13.65</f>
        <v>1010.1</v>
      </c>
      <c r="F1042" s="36">
        <f t="shared" si="71"/>
        <v>959.59500000000003</v>
      </c>
      <c r="G1042" s="26">
        <f t="shared" si="69"/>
        <v>909.09</v>
      </c>
      <c r="H1042" s="26">
        <f t="shared" si="70"/>
        <v>858.58500000000004</v>
      </c>
    </row>
    <row r="1043" spans="1:8" ht="12.75" customHeight="1" x14ac:dyDescent="0.2">
      <c r="A1043" s="31">
        <f t="shared" si="72"/>
        <v>1029</v>
      </c>
      <c r="B1043" s="9" t="s">
        <v>1085</v>
      </c>
      <c r="C1043" s="32">
        <v>38116220</v>
      </c>
      <c r="D1043" s="3" t="s">
        <v>2073</v>
      </c>
      <c r="E1043" s="36">
        <f>E12*3.9</f>
        <v>288.59999999999997</v>
      </c>
      <c r="F1043" s="36">
        <f t="shared" si="71"/>
        <v>274.16999999999996</v>
      </c>
      <c r="G1043" s="26">
        <f t="shared" si="69"/>
        <v>259.73999999999995</v>
      </c>
      <c r="H1043" s="26">
        <f t="shared" si="70"/>
        <v>245.30999999999997</v>
      </c>
    </row>
    <row r="1044" spans="1:8" ht="13.5" customHeight="1" x14ac:dyDescent="0.2">
      <c r="A1044" s="31">
        <f t="shared" si="72"/>
        <v>1030</v>
      </c>
      <c r="B1044" s="9" t="s">
        <v>559</v>
      </c>
      <c r="C1044" s="32"/>
      <c r="D1044" s="3" t="s">
        <v>2074</v>
      </c>
      <c r="E1044" s="36">
        <f>E12*4.23</f>
        <v>313.02000000000004</v>
      </c>
      <c r="F1044" s="36">
        <f t="shared" si="71"/>
        <v>297.36900000000003</v>
      </c>
      <c r="G1044" s="26">
        <f t="shared" si="69"/>
        <v>281.71800000000002</v>
      </c>
      <c r="H1044" s="26">
        <f t="shared" si="70"/>
        <v>266.06700000000001</v>
      </c>
    </row>
    <row r="1045" spans="1:8" x14ac:dyDescent="0.2">
      <c r="A1045" s="31">
        <f t="shared" si="72"/>
        <v>1031</v>
      </c>
      <c r="B1045" s="9" t="s">
        <v>937</v>
      </c>
      <c r="C1045" s="32">
        <v>38116630</v>
      </c>
      <c r="D1045" s="3" t="s">
        <v>2075</v>
      </c>
      <c r="E1045" s="36">
        <f>E12*3.9</f>
        <v>288.59999999999997</v>
      </c>
      <c r="F1045" s="36">
        <f t="shared" si="71"/>
        <v>274.16999999999996</v>
      </c>
      <c r="G1045" s="26">
        <f t="shared" si="69"/>
        <v>259.73999999999995</v>
      </c>
      <c r="H1045" s="26">
        <f t="shared" si="70"/>
        <v>245.30999999999997</v>
      </c>
    </row>
    <row r="1046" spans="1:8" ht="12.75" customHeight="1" x14ac:dyDescent="0.2">
      <c r="A1046" s="31">
        <f t="shared" si="72"/>
        <v>1032</v>
      </c>
      <c r="B1046" s="9" t="s">
        <v>501</v>
      </c>
      <c r="C1046" s="32">
        <v>3814010571</v>
      </c>
      <c r="D1046" s="3" t="s">
        <v>2076</v>
      </c>
      <c r="E1046" s="36">
        <f>E12*3.9</f>
        <v>288.59999999999997</v>
      </c>
      <c r="F1046" s="36">
        <f t="shared" si="71"/>
        <v>274.16999999999996</v>
      </c>
      <c r="G1046" s="26">
        <f t="shared" si="69"/>
        <v>259.73999999999995</v>
      </c>
      <c r="H1046" s="26">
        <f t="shared" si="70"/>
        <v>245.30999999999997</v>
      </c>
    </row>
    <row r="1047" spans="1:8" ht="12.75" customHeight="1" x14ac:dyDescent="0.2">
      <c r="A1047" s="31">
        <f t="shared" si="72"/>
        <v>1033</v>
      </c>
      <c r="B1047" s="9" t="s">
        <v>502</v>
      </c>
      <c r="C1047" s="32">
        <v>3814010771</v>
      </c>
      <c r="D1047" s="3" t="s">
        <v>2077</v>
      </c>
      <c r="E1047" s="36">
        <f>E12*4.4</f>
        <v>325.60000000000002</v>
      </c>
      <c r="F1047" s="36">
        <f t="shared" si="71"/>
        <v>309.32000000000005</v>
      </c>
      <c r="G1047" s="26">
        <f t="shared" si="69"/>
        <v>293.04000000000002</v>
      </c>
      <c r="H1047" s="26">
        <f t="shared" si="70"/>
        <v>276.76</v>
      </c>
    </row>
    <row r="1048" spans="1:8" x14ac:dyDescent="0.2">
      <c r="A1048" s="31">
        <f t="shared" si="72"/>
        <v>1034</v>
      </c>
      <c r="B1048" s="9" t="s">
        <v>503</v>
      </c>
      <c r="C1048" s="32">
        <v>3814010571</v>
      </c>
      <c r="D1048" s="3" t="s">
        <v>2078</v>
      </c>
      <c r="E1048" s="36">
        <f>E12*3.9</f>
        <v>288.59999999999997</v>
      </c>
      <c r="F1048" s="36">
        <f t="shared" si="71"/>
        <v>274.16999999999996</v>
      </c>
      <c r="G1048" s="26">
        <f t="shared" si="69"/>
        <v>259.73999999999995</v>
      </c>
      <c r="H1048" s="26">
        <f t="shared" si="70"/>
        <v>245.30999999999997</v>
      </c>
    </row>
    <row r="1049" spans="1:8" ht="12.75" customHeight="1" x14ac:dyDescent="0.2">
      <c r="A1049" s="31">
        <f t="shared" si="72"/>
        <v>1035</v>
      </c>
      <c r="B1049" s="9" t="s">
        <v>504</v>
      </c>
      <c r="C1049" s="32">
        <v>9424010271</v>
      </c>
      <c r="D1049" s="3" t="s">
        <v>2079</v>
      </c>
      <c r="E1049" s="36">
        <f>E12*3</f>
        <v>222</v>
      </c>
      <c r="F1049" s="36">
        <f t="shared" si="71"/>
        <v>210.9</v>
      </c>
      <c r="G1049" s="26">
        <f t="shared" si="69"/>
        <v>199.8</v>
      </c>
      <c r="H1049" s="26">
        <f t="shared" si="70"/>
        <v>188.7</v>
      </c>
    </row>
    <row r="1050" spans="1:8" ht="12.75" customHeight="1" x14ac:dyDescent="0.2">
      <c r="A1050" s="31">
        <f t="shared" si="72"/>
        <v>1036</v>
      </c>
      <c r="B1050" s="9" t="s">
        <v>742</v>
      </c>
      <c r="C1050" s="32">
        <v>3524020071</v>
      </c>
      <c r="D1050" s="3" t="s">
        <v>2080</v>
      </c>
      <c r="E1050" s="36">
        <f>E12*3</f>
        <v>222</v>
      </c>
      <c r="F1050" s="36">
        <f t="shared" si="71"/>
        <v>210.9</v>
      </c>
      <c r="G1050" s="26">
        <f t="shared" si="69"/>
        <v>199.8</v>
      </c>
      <c r="H1050" s="26">
        <f t="shared" si="70"/>
        <v>188.7</v>
      </c>
    </row>
    <row r="1051" spans="1:8" x14ac:dyDescent="0.2">
      <c r="A1051" s="31">
        <f t="shared" si="72"/>
        <v>1037</v>
      </c>
      <c r="B1051" s="9" t="s">
        <v>741</v>
      </c>
      <c r="C1051" s="32">
        <v>38115220</v>
      </c>
      <c r="D1051" s="3" t="s">
        <v>2081</v>
      </c>
      <c r="E1051" s="36">
        <f>E12*3.9</f>
        <v>288.59999999999997</v>
      </c>
      <c r="F1051" s="36">
        <f t="shared" si="71"/>
        <v>274.16999999999996</v>
      </c>
      <c r="G1051" s="26">
        <f t="shared" si="69"/>
        <v>259.73999999999995</v>
      </c>
      <c r="H1051" s="26">
        <f t="shared" si="70"/>
        <v>245.30999999999997</v>
      </c>
    </row>
    <row r="1052" spans="1:8" ht="12.75" customHeight="1" x14ac:dyDescent="0.2">
      <c r="A1052" s="31">
        <f t="shared" si="72"/>
        <v>1038</v>
      </c>
      <c r="B1052" s="9" t="s">
        <v>1247</v>
      </c>
      <c r="C1052" s="32">
        <v>4071321105</v>
      </c>
      <c r="D1052" s="3" t="s">
        <v>2082</v>
      </c>
      <c r="E1052" s="36">
        <f>E12*24.94</f>
        <v>1845.5600000000002</v>
      </c>
      <c r="F1052" s="36">
        <f t="shared" si="71"/>
        <v>1753.2820000000002</v>
      </c>
      <c r="G1052" s="26">
        <f t="shared" si="69"/>
        <v>1661.0040000000001</v>
      </c>
      <c r="H1052" s="26">
        <f t="shared" si="70"/>
        <v>1568.7260000000001</v>
      </c>
    </row>
    <row r="1053" spans="1:8" ht="12.75" customHeight="1" x14ac:dyDescent="0.2">
      <c r="A1053" s="31">
        <f t="shared" si="72"/>
        <v>1039</v>
      </c>
      <c r="B1053" s="9" t="s">
        <v>115</v>
      </c>
      <c r="C1053" s="32">
        <v>4071300030</v>
      </c>
      <c r="D1053" s="3" t="s">
        <v>2083</v>
      </c>
      <c r="E1053" s="36">
        <f>E12*23.35</f>
        <v>1727.9</v>
      </c>
      <c r="F1053" s="36">
        <f t="shared" si="71"/>
        <v>1641.5050000000001</v>
      </c>
      <c r="G1053" s="26">
        <f t="shared" si="69"/>
        <v>1555.1100000000001</v>
      </c>
      <c r="H1053" s="26">
        <f t="shared" si="70"/>
        <v>1468.7150000000001</v>
      </c>
    </row>
    <row r="1054" spans="1:8" x14ac:dyDescent="0.2">
      <c r="A1054" s="31">
        <f t="shared" si="72"/>
        <v>1040</v>
      </c>
      <c r="B1054" s="9" t="s">
        <v>891</v>
      </c>
      <c r="C1054" s="32">
        <v>4071321105</v>
      </c>
      <c r="D1054" s="3" t="s">
        <v>2084</v>
      </c>
      <c r="E1054" s="36">
        <f>E12*31.22</f>
        <v>2310.2799999999997</v>
      </c>
      <c r="F1054" s="36">
        <f t="shared" si="71"/>
        <v>2194.7659999999996</v>
      </c>
      <c r="G1054" s="26">
        <f t="shared" si="69"/>
        <v>2079.252</v>
      </c>
      <c r="H1054" s="26">
        <f t="shared" si="70"/>
        <v>1963.7379999999998</v>
      </c>
    </row>
    <row r="1055" spans="1:8" ht="12.75" customHeight="1" x14ac:dyDescent="0.2">
      <c r="A1055" s="31">
        <f t="shared" si="72"/>
        <v>1041</v>
      </c>
      <c r="B1055" s="9" t="s">
        <v>201</v>
      </c>
      <c r="C1055" s="32"/>
      <c r="D1055" s="3" t="s">
        <v>2085</v>
      </c>
      <c r="E1055" s="36">
        <f>E12*1.18</f>
        <v>87.32</v>
      </c>
      <c r="F1055" s="36">
        <f t="shared" si="71"/>
        <v>82.953999999999994</v>
      </c>
      <c r="G1055" s="26">
        <f t="shared" si="69"/>
        <v>78.587999999999994</v>
      </c>
      <c r="H1055" s="26">
        <f t="shared" si="70"/>
        <v>74.221999999999994</v>
      </c>
    </row>
    <row r="1056" spans="1:8" ht="12.75" customHeight="1" x14ac:dyDescent="0.2">
      <c r="A1056" s="31">
        <f t="shared" si="72"/>
        <v>1042</v>
      </c>
      <c r="B1056" s="9" t="s">
        <v>202</v>
      </c>
      <c r="C1056" s="32"/>
      <c r="D1056" s="3" t="s">
        <v>2086</v>
      </c>
      <c r="E1056" s="36">
        <f>E12*2.05</f>
        <v>151.69999999999999</v>
      </c>
      <c r="F1056" s="36">
        <f t="shared" si="71"/>
        <v>144.11499999999998</v>
      </c>
      <c r="G1056" s="26">
        <f t="shared" si="69"/>
        <v>136.53</v>
      </c>
      <c r="H1056" s="26">
        <f t="shared" si="70"/>
        <v>128.94499999999999</v>
      </c>
    </row>
    <row r="1057" spans="1:8" ht="12.75" customHeight="1" x14ac:dyDescent="0.2">
      <c r="A1057" s="31">
        <f t="shared" si="72"/>
        <v>1043</v>
      </c>
      <c r="B1057" s="9" t="s">
        <v>203</v>
      </c>
      <c r="C1057" s="32"/>
      <c r="D1057" s="3" t="s">
        <v>2087</v>
      </c>
      <c r="E1057" s="36">
        <f>E12*2.05</f>
        <v>151.69999999999999</v>
      </c>
      <c r="F1057" s="36">
        <f t="shared" si="71"/>
        <v>144.11499999999998</v>
      </c>
      <c r="G1057" s="26">
        <f t="shared" si="69"/>
        <v>136.53</v>
      </c>
      <c r="H1057" s="26">
        <f t="shared" si="70"/>
        <v>128.94499999999999</v>
      </c>
    </row>
    <row r="1058" spans="1:8" x14ac:dyDescent="0.2">
      <c r="A1058" s="31">
        <f t="shared" si="72"/>
        <v>1044</v>
      </c>
      <c r="B1058" s="9" t="s">
        <v>200</v>
      </c>
      <c r="C1058" s="32">
        <v>81264400029</v>
      </c>
      <c r="D1058" s="3" t="s">
        <v>2088</v>
      </c>
      <c r="E1058" s="36">
        <f>E12*7.2</f>
        <v>532.80000000000007</v>
      </c>
      <c r="F1058" s="36">
        <f t="shared" si="71"/>
        <v>506.16000000000008</v>
      </c>
      <c r="G1058" s="26">
        <f t="shared" si="69"/>
        <v>479.52000000000004</v>
      </c>
      <c r="H1058" s="26">
        <f t="shared" si="70"/>
        <v>452.88000000000005</v>
      </c>
    </row>
    <row r="1059" spans="1:8" x14ac:dyDescent="0.2">
      <c r="A1059" s="31">
        <f t="shared" si="72"/>
        <v>1045</v>
      </c>
      <c r="B1059" s="9" t="s">
        <v>495</v>
      </c>
      <c r="C1059" s="32" t="s">
        <v>2090</v>
      </c>
      <c r="D1059" s="3" t="s">
        <v>2089</v>
      </c>
      <c r="E1059" s="36">
        <f>E12*8.1</f>
        <v>599.4</v>
      </c>
      <c r="F1059" s="36">
        <f t="shared" si="71"/>
        <v>569.42999999999995</v>
      </c>
      <c r="G1059" s="26">
        <f t="shared" si="69"/>
        <v>539.46</v>
      </c>
      <c r="H1059" s="26">
        <f t="shared" si="70"/>
        <v>509.49</v>
      </c>
    </row>
    <row r="1060" spans="1:8" s="29" customFormat="1" x14ac:dyDescent="0.2">
      <c r="A1060" s="31">
        <f t="shared" si="72"/>
        <v>1046</v>
      </c>
      <c r="B1060" s="32">
        <v>178080</v>
      </c>
      <c r="C1060" s="32">
        <v>81264400033</v>
      </c>
      <c r="D1060" s="31" t="s">
        <v>2091</v>
      </c>
      <c r="E1060" s="36">
        <f>E12*11.9</f>
        <v>880.6</v>
      </c>
      <c r="F1060" s="36">
        <f t="shared" si="71"/>
        <v>836.57</v>
      </c>
      <c r="G1060" s="26">
        <f t="shared" si="69"/>
        <v>792.54</v>
      </c>
      <c r="H1060" s="26">
        <f t="shared" si="70"/>
        <v>748.51</v>
      </c>
    </row>
    <row r="1061" spans="1:8" s="29" customFormat="1" x14ac:dyDescent="0.2">
      <c r="A1061" s="31">
        <f t="shared" si="72"/>
        <v>1047</v>
      </c>
      <c r="B1061" s="32">
        <v>178090</v>
      </c>
      <c r="C1061" s="32">
        <v>81264400060</v>
      </c>
      <c r="D1061" s="31" t="s">
        <v>2092</v>
      </c>
      <c r="E1061" s="36">
        <f>E12*13</f>
        <v>962</v>
      </c>
      <c r="F1061" s="36">
        <f t="shared" si="71"/>
        <v>913.9</v>
      </c>
      <c r="G1061" s="26">
        <f t="shared" si="69"/>
        <v>865.8</v>
      </c>
      <c r="H1061" s="26">
        <f t="shared" si="70"/>
        <v>817.7</v>
      </c>
    </row>
    <row r="1062" spans="1:8" s="29" customFormat="1" x14ac:dyDescent="0.2">
      <c r="A1062" s="31">
        <f t="shared" si="72"/>
        <v>1048</v>
      </c>
      <c r="B1062" s="32">
        <v>178100</v>
      </c>
      <c r="C1062" s="32" t="s">
        <v>2094</v>
      </c>
      <c r="D1062" s="31" t="s">
        <v>2093</v>
      </c>
      <c r="E1062" s="36">
        <f>E12*13.8</f>
        <v>1021.2</v>
      </c>
      <c r="F1062" s="36">
        <f t="shared" si="71"/>
        <v>970.1400000000001</v>
      </c>
      <c r="G1062" s="26">
        <f t="shared" si="69"/>
        <v>919.08</v>
      </c>
      <c r="H1062" s="26">
        <f t="shared" si="70"/>
        <v>868.02</v>
      </c>
    </row>
    <row r="1063" spans="1:8" s="29" customFormat="1" x14ac:dyDescent="0.2">
      <c r="A1063" s="31">
        <f t="shared" si="72"/>
        <v>1049</v>
      </c>
      <c r="B1063" s="32">
        <v>178101</v>
      </c>
      <c r="C1063" s="32" t="s">
        <v>2095</v>
      </c>
      <c r="D1063" s="31" t="s">
        <v>2096</v>
      </c>
      <c r="E1063" s="36">
        <f>E12*15.6</f>
        <v>1154.3999999999999</v>
      </c>
      <c r="F1063" s="36">
        <f t="shared" si="71"/>
        <v>1096.6799999999998</v>
      </c>
      <c r="G1063" s="26">
        <f t="shared" si="69"/>
        <v>1038.9599999999998</v>
      </c>
      <c r="H1063" s="26">
        <f t="shared" si="70"/>
        <v>981.2399999999999</v>
      </c>
    </row>
    <row r="1064" spans="1:8" x14ac:dyDescent="0.2">
      <c r="A1064" s="31">
        <f t="shared" si="72"/>
        <v>1050</v>
      </c>
      <c r="B1064" s="9" t="s">
        <v>1050</v>
      </c>
      <c r="C1064" s="32">
        <v>4420100672</v>
      </c>
      <c r="D1064" s="3" t="s">
        <v>2098</v>
      </c>
      <c r="E1064" s="36">
        <f>E12*9.1</f>
        <v>673.4</v>
      </c>
      <c r="F1064" s="36">
        <f t="shared" si="71"/>
        <v>639.73</v>
      </c>
      <c r="G1064" s="26">
        <f t="shared" si="69"/>
        <v>606.05999999999995</v>
      </c>
      <c r="H1064" s="26">
        <f t="shared" si="70"/>
        <v>572.39</v>
      </c>
    </row>
    <row r="1065" spans="1:8" x14ac:dyDescent="0.2">
      <c r="A1065" s="31">
        <f t="shared" si="72"/>
        <v>1051</v>
      </c>
      <c r="B1065" s="9" t="s">
        <v>204</v>
      </c>
      <c r="C1065" s="32"/>
      <c r="D1065" s="3" t="s">
        <v>41</v>
      </c>
      <c r="E1065" s="36">
        <f>E12*16</f>
        <v>1184</v>
      </c>
      <c r="F1065" s="36">
        <f t="shared" ref="F1065:F1123" si="73">E1065-E1065*5%</f>
        <v>1124.8</v>
      </c>
      <c r="G1065" s="26">
        <f t="shared" ref="G1065:G1123" si="74">E1065-E1065*10%</f>
        <v>1065.5999999999999</v>
      </c>
      <c r="H1065" s="26">
        <f t="shared" ref="H1065:H1123" si="75">E1065-E1065*15%</f>
        <v>1006.4</v>
      </c>
    </row>
    <row r="1066" spans="1:8" x14ac:dyDescent="0.2">
      <c r="A1066" s="31">
        <f t="shared" si="72"/>
        <v>1052</v>
      </c>
      <c r="B1066" s="9" t="s">
        <v>1251</v>
      </c>
      <c r="C1066" s="32"/>
      <c r="D1066" s="3" t="s">
        <v>42</v>
      </c>
      <c r="E1066" s="36">
        <f>E12*18.5</f>
        <v>1369</v>
      </c>
      <c r="F1066" s="36">
        <f t="shared" si="73"/>
        <v>1300.55</v>
      </c>
      <c r="G1066" s="26">
        <f t="shared" si="74"/>
        <v>1232.0999999999999</v>
      </c>
      <c r="H1066" s="26">
        <f t="shared" si="75"/>
        <v>1163.6500000000001</v>
      </c>
    </row>
    <row r="1067" spans="1:8" x14ac:dyDescent="0.2">
      <c r="A1067" s="31">
        <f t="shared" si="72"/>
        <v>1053</v>
      </c>
      <c r="B1067" s="9" t="s">
        <v>865</v>
      </c>
      <c r="C1067" s="32"/>
      <c r="D1067" s="3" t="s">
        <v>864</v>
      </c>
      <c r="E1067" s="36">
        <f>E12*15.6</f>
        <v>1154.3999999999999</v>
      </c>
      <c r="F1067" s="36">
        <f t="shared" si="73"/>
        <v>1096.6799999999998</v>
      </c>
      <c r="G1067" s="26">
        <f t="shared" si="74"/>
        <v>1038.9599999999998</v>
      </c>
      <c r="H1067" s="26">
        <f t="shared" si="75"/>
        <v>981.2399999999999</v>
      </c>
    </row>
    <row r="1068" spans="1:8" x14ac:dyDescent="0.2">
      <c r="A1068" s="31">
        <f t="shared" si="72"/>
        <v>1054</v>
      </c>
      <c r="B1068" s="9" t="s">
        <v>328</v>
      </c>
      <c r="C1068" s="32">
        <v>4324100202</v>
      </c>
      <c r="D1068" s="3" t="s">
        <v>2099</v>
      </c>
      <c r="E1068" s="36">
        <f>E12*11.5</f>
        <v>851</v>
      </c>
      <c r="F1068" s="36">
        <f t="shared" si="73"/>
        <v>808.45</v>
      </c>
      <c r="G1068" s="26">
        <f t="shared" si="74"/>
        <v>765.9</v>
      </c>
      <c r="H1068" s="26">
        <f t="shared" si="75"/>
        <v>723.35</v>
      </c>
    </row>
    <row r="1069" spans="1:8" x14ac:dyDescent="0.2">
      <c r="A1069" s="31">
        <f t="shared" si="72"/>
        <v>1055</v>
      </c>
      <c r="B1069" s="9" t="s">
        <v>471</v>
      </c>
      <c r="C1069" s="32">
        <v>4760940004</v>
      </c>
      <c r="D1069" s="3" t="s">
        <v>2100</v>
      </c>
      <c r="E1069" s="36">
        <f>E12*41.08</f>
        <v>3039.92</v>
      </c>
      <c r="F1069" s="36">
        <f t="shared" si="73"/>
        <v>2887.924</v>
      </c>
      <c r="G1069" s="26">
        <f t="shared" si="74"/>
        <v>2735.9279999999999</v>
      </c>
      <c r="H1069" s="26">
        <f t="shared" si="75"/>
        <v>2583.9320000000002</v>
      </c>
    </row>
    <row r="1070" spans="1:8" x14ac:dyDescent="0.2">
      <c r="A1070" s="31">
        <f t="shared" si="72"/>
        <v>1056</v>
      </c>
      <c r="B1070" s="9" t="s">
        <v>80</v>
      </c>
      <c r="C1070" s="32" t="s">
        <v>2102</v>
      </c>
      <c r="D1070" s="3" t="s">
        <v>2101</v>
      </c>
      <c r="E1070" s="36">
        <f>E12*31.85</f>
        <v>2356.9</v>
      </c>
      <c r="F1070" s="36">
        <f t="shared" si="73"/>
        <v>2239.0550000000003</v>
      </c>
      <c r="G1070" s="26">
        <f t="shared" si="74"/>
        <v>2121.21</v>
      </c>
      <c r="H1070" s="26">
        <f t="shared" si="75"/>
        <v>2003.365</v>
      </c>
    </row>
    <row r="1071" spans="1:8" x14ac:dyDescent="0.2">
      <c r="A1071" s="31">
        <f t="shared" si="72"/>
        <v>1057</v>
      </c>
      <c r="B1071" s="9" t="s">
        <v>1284</v>
      </c>
      <c r="C1071" s="32" t="s">
        <v>2105</v>
      </c>
      <c r="D1071" s="3" t="s">
        <v>2104</v>
      </c>
      <c r="E1071" s="36">
        <f>E12*35.2</f>
        <v>2604.8000000000002</v>
      </c>
      <c r="F1071" s="36">
        <f t="shared" si="73"/>
        <v>2474.5600000000004</v>
      </c>
      <c r="G1071" s="26">
        <f t="shared" si="74"/>
        <v>2344.3200000000002</v>
      </c>
      <c r="H1071" s="26">
        <f t="shared" si="75"/>
        <v>2214.08</v>
      </c>
    </row>
    <row r="1072" spans="1:8" x14ac:dyDescent="0.2">
      <c r="A1072" s="31">
        <f t="shared" si="72"/>
        <v>1058</v>
      </c>
      <c r="B1072" s="9" t="s">
        <v>562</v>
      </c>
      <c r="C1072" s="32" t="s">
        <v>2107</v>
      </c>
      <c r="D1072" s="3" t="s">
        <v>2106</v>
      </c>
      <c r="E1072" s="36">
        <f>E12*44.9</f>
        <v>3322.6</v>
      </c>
      <c r="F1072" s="36">
        <f t="shared" si="73"/>
        <v>3156.47</v>
      </c>
      <c r="G1072" s="26">
        <f t="shared" si="74"/>
        <v>2990.34</v>
      </c>
      <c r="H1072" s="26">
        <f t="shared" si="75"/>
        <v>2824.21</v>
      </c>
    </row>
    <row r="1073" spans="1:8" x14ac:dyDescent="0.2">
      <c r="A1073" s="31">
        <f t="shared" si="72"/>
        <v>1059</v>
      </c>
      <c r="B1073" s="9" t="s">
        <v>321</v>
      </c>
      <c r="C1073" s="32">
        <v>81083040074</v>
      </c>
      <c r="D1073" s="3" t="s">
        <v>2108</v>
      </c>
      <c r="E1073" s="36">
        <f>E12*41.05</f>
        <v>3037.7</v>
      </c>
      <c r="F1073" s="36">
        <f t="shared" si="73"/>
        <v>2885.8149999999996</v>
      </c>
      <c r="G1073" s="26">
        <f t="shared" si="74"/>
        <v>2733.93</v>
      </c>
      <c r="H1073" s="26">
        <f t="shared" si="75"/>
        <v>2582.0450000000001</v>
      </c>
    </row>
    <row r="1074" spans="1:8" x14ac:dyDescent="0.2">
      <c r="A1074" s="31">
        <f t="shared" si="72"/>
        <v>1060</v>
      </c>
      <c r="B1074" s="9" t="s">
        <v>717</v>
      </c>
      <c r="C1074" s="32" t="s">
        <v>2103</v>
      </c>
      <c r="D1074" s="3" t="s">
        <v>2109</v>
      </c>
      <c r="E1074" s="36">
        <f>E12*51.97</f>
        <v>3845.7799999999997</v>
      </c>
      <c r="F1074" s="36">
        <f t="shared" si="73"/>
        <v>3653.491</v>
      </c>
      <c r="G1074" s="26">
        <f t="shared" si="74"/>
        <v>3461.2019999999998</v>
      </c>
      <c r="H1074" s="26">
        <f t="shared" si="75"/>
        <v>3268.9129999999996</v>
      </c>
    </row>
    <row r="1075" spans="1:8" x14ac:dyDescent="0.2">
      <c r="A1075" s="31">
        <f t="shared" si="72"/>
        <v>1061</v>
      </c>
      <c r="B1075" s="9" t="s">
        <v>896</v>
      </c>
      <c r="C1075" s="32">
        <v>81083040100</v>
      </c>
      <c r="D1075" s="3" t="s">
        <v>2110</v>
      </c>
      <c r="E1075" s="36">
        <f>E12*56.57</f>
        <v>4186.18</v>
      </c>
      <c r="F1075" s="36">
        <f t="shared" si="73"/>
        <v>3976.8710000000001</v>
      </c>
      <c r="G1075" s="26">
        <f t="shared" si="74"/>
        <v>3767.5620000000004</v>
      </c>
      <c r="H1075" s="26">
        <f t="shared" si="75"/>
        <v>3558.2530000000002</v>
      </c>
    </row>
    <row r="1076" spans="1:8" x14ac:dyDescent="0.2">
      <c r="A1076" s="31">
        <f t="shared" si="72"/>
        <v>1062</v>
      </c>
      <c r="B1076" s="9" t="s">
        <v>1147</v>
      </c>
      <c r="C1076" s="32">
        <v>51055040085</v>
      </c>
      <c r="D1076" s="3" t="s">
        <v>2111</v>
      </c>
      <c r="E1076" s="36">
        <f>E12*5.85</f>
        <v>432.9</v>
      </c>
      <c r="F1076" s="36">
        <f t="shared" si="73"/>
        <v>411.255</v>
      </c>
      <c r="G1076" s="26">
        <f t="shared" si="74"/>
        <v>389.60999999999996</v>
      </c>
      <c r="H1076" s="26">
        <f t="shared" si="75"/>
        <v>367.96499999999997</v>
      </c>
    </row>
    <row r="1077" spans="1:8" x14ac:dyDescent="0.2">
      <c r="A1077" s="31">
        <f t="shared" si="72"/>
        <v>1063</v>
      </c>
      <c r="B1077" s="9" t="s">
        <v>1184</v>
      </c>
      <c r="C1077" s="32">
        <v>8105040041</v>
      </c>
      <c r="D1077" s="3" t="s">
        <v>2112</v>
      </c>
      <c r="E1077" s="36">
        <f>E12*7.2</f>
        <v>532.80000000000007</v>
      </c>
      <c r="F1077" s="36">
        <f t="shared" si="73"/>
        <v>506.16000000000008</v>
      </c>
      <c r="G1077" s="26">
        <f t="shared" si="74"/>
        <v>479.52000000000004</v>
      </c>
      <c r="H1077" s="26">
        <f t="shared" si="75"/>
        <v>452.88000000000005</v>
      </c>
    </row>
    <row r="1078" spans="1:8" x14ac:dyDescent="0.2">
      <c r="A1078" s="31">
        <f t="shared" si="72"/>
        <v>1064</v>
      </c>
      <c r="B1078" s="9" t="s">
        <v>266</v>
      </c>
      <c r="C1078" s="32">
        <v>3661840125</v>
      </c>
      <c r="D1078" s="3" t="s">
        <v>2113</v>
      </c>
      <c r="E1078" s="36">
        <f>E12*3.81</f>
        <v>281.94</v>
      </c>
      <c r="F1078" s="36">
        <f t="shared" si="73"/>
        <v>267.84300000000002</v>
      </c>
      <c r="G1078" s="26">
        <f t="shared" si="74"/>
        <v>253.74599999999998</v>
      </c>
      <c r="H1078" s="26">
        <f t="shared" si="75"/>
        <v>239.649</v>
      </c>
    </row>
    <row r="1079" spans="1:8" x14ac:dyDescent="0.2">
      <c r="A1079" s="31">
        <f t="shared" si="72"/>
        <v>1065</v>
      </c>
      <c r="B1079" s="9" t="s">
        <v>1134</v>
      </c>
      <c r="C1079" s="32">
        <v>4411800309</v>
      </c>
      <c r="D1079" s="3" t="s">
        <v>2114</v>
      </c>
      <c r="E1079" s="36">
        <f>E12*6.3</f>
        <v>466.2</v>
      </c>
      <c r="F1079" s="36">
        <f t="shared" si="73"/>
        <v>442.89</v>
      </c>
      <c r="G1079" s="26">
        <f t="shared" si="74"/>
        <v>419.58</v>
      </c>
      <c r="H1079" s="26">
        <f t="shared" si="75"/>
        <v>396.27</v>
      </c>
    </row>
    <row r="1080" spans="1:8" x14ac:dyDescent="0.2">
      <c r="A1080" s="31">
        <f t="shared" si="72"/>
        <v>1066</v>
      </c>
      <c r="B1080" s="9" t="s">
        <v>428</v>
      </c>
      <c r="C1080" s="32">
        <v>5411800009</v>
      </c>
      <c r="D1080" s="3" t="s">
        <v>2115</v>
      </c>
      <c r="E1080" s="36">
        <f>E12*8.35</f>
        <v>617.9</v>
      </c>
      <c r="F1080" s="36">
        <f t="shared" si="73"/>
        <v>587.005</v>
      </c>
      <c r="G1080" s="26">
        <f t="shared" si="74"/>
        <v>556.11</v>
      </c>
      <c r="H1080" s="26">
        <f t="shared" si="75"/>
        <v>525.21500000000003</v>
      </c>
    </row>
    <row r="1081" spans="1:8" x14ac:dyDescent="0.2">
      <c r="A1081" s="31">
        <f t="shared" si="72"/>
        <v>1067</v>
      </c>
      <c r="B1081" s="9" t="s">
        <v>777</v>
      </c>
      <c r="C1081" s="32">
        <v>51055040098</v>
      </c>
      <c r="D1081" s="3" t="s">
        <v>2116</v>
      </c>
      <c r="E1081" s="36">
        <f>E12*8.73</f>
        <v>646.02</v>
      </c>
      <c r="F1081" s="36">
        <f t="shared" si="73"/>
        <v>613.71899999999994</v>
      </c>
      <c r="G1081" s="26">
        <f t="shared" si="74"/>
        <v>581.41800000000001</v>
      </c>
      <c r="H1081" s="26">
        <f t="shared" si="75"/>
        <v>549.11699999999996</v>
      </c>
    </row>
    <row r="1082" spans="1:8" x14ac:dyDescent="0.2">
      <c r="A1082" s="31">
        <f t="shared" si="72"/>
        <v>1068</v>
      </c>
      <c r="B1082" s="9" t="s">
        <v>1091</v>
      </c>
      <c r="C1082" s="32" t="s">
        <v>2118</v>
      </c>
      <c r="D1082" s="3" t="s">
        <v>2117</v>
      </c>
      <c r="E1082" s="36">
        <f>E12*2.3</f>
        <v>170.2</v>
      </c>
      <c r="F1082" s="36">
        <f t="shared" si="73"/>
        <v>161.69</v>
      </c>
      <c r="G1082" s="26">
        <f t="shared" si="74"/>
        <v>153.17999999999998</v>
      </c>
      <c r="H1082" s="26">
        <f t="shared" si="75"/>
        <v>144.66999999999999</v>
      </c>
    </row>
    <row r="1083" spans="1:8" x14ac:dyDescent="0.2">
      <c r="A1083" s="31">
        <f t="shared" si="72"/>
        <v>1069</v>
      </c>
      <c r="B1083" s="9" t="s">
        <v>755</v>
      </c>
      <c r="C1083" s="32">
        <v>5000670699</v>
      </c>
      <c r="D1083" s="3" t="s">
        <v>2119</v>
      </c>
      <c r="E1083" s="36">
        <f>E12*8.75</f>
        <v>647.5</v>
      </c>
      <c r="F1083" s="36">
        <f t="shared" si="73"/>
        <v>615.125</v>
      </c>
      <c r="G1083" s="26">
        <f t="shared" si="74"/>
        <v>582.75</v>
      </c>
      <c r="H1083" s="26">
        <f t="shared" si="75"/>
        <v>550.375</v>
      </c>
    </row>
    <row r="1084" spans="1:8" x14ac:dyDescent="0.2">
      <c r="A1084" s="31">
        <f t="shared" si="72"/>
        <v>1070</v>
      </c>
      <c r="B1084" s="9" t="s">
        <v>1185</v>
      </c>
      <c r="C1084" s="32">
        <v>3554700192</v>
      </c>
      <c r="D1084" s="3" t="s">
        <v>2120</v>
      </c>
      <c r="E1084" s="36">
        <f>E12*3.27</f>
        <v>241.98</v>
      </c>
      <c r="F1084" s="36">
        <f t="shared" si="73"/>
        <v>229.881</v>
      </c>
      <c r="G1084" s="26">
        <f t="shared" si="74"/>
        <v>217.78199999999998</v>
      </c>
      <c r="H1084" s="26">
        <f t="shared" si="75"/>
        <v>205.68299999999999</v>
      </c>
    </row>
    <row r="1085" spans="1:8" x14ac:dyDescent="0.2">
      <c r="A1085" s="31">
        <f t="shared" si="72"/>
        <v>1071</v>
      </c>
      <c r="B1085" s="9" t="s">
        <v>257</v>
      </c>
      <c r="C1085" s="32" t="s">
        <v>2122</v>
      </c>
      <c r="D1085" s="3" t="s">
        <v>2121</v>
      </c>
      <c r="E1085" s="36">
        <f>E12*2.58</f>
        <v>190.92000000000002</v>
      </c>
      <c r="F1085" s="36">
        <f t="shared" si="73"/>
        <v>181.37400000000002</v>
      </c>
      <c r="G1085" s="26">
        <f t="shared" si="74"/>
        <v>171.828</v>
      </c>
      <c r="H1085" s="26">
        <f t="shared" si="75"/>
        <v>162.28200000000001</v>
      </c>
    </row>
    <row r="1086" spans="1:8" x14ac:dyDescent="0.2">
      <c r="A1086" s="31">
        <f t="shared" si="72"/>
        <v>1072</v>
      </c>
      <c r="B1086" s="9" t="s">
        <v>114</v>
      </c>
      <c r="C1086" s="32" t="s">
        <v>2124</v>
      </c>
      <c r="D1086" s="3" t="s">
        <v>2123</v>
      </c>
      <c r="E1086" s="36">
        <v>128</v>
      </c>
      <c r="F1086" s="36">
        <f t="shared" si="73"/>
        <v>121.6</v>
      </c>
      <c r="G1086" s="26">
        <f t="shared" si="74"/>
        <v>115.2</v>
      </c>
      <c r="H1086" s="26">
        <f t="shared" si="75"/>
        <v>108.8</v>
      </c>
    </row>
    <row r="1087" spans="1:8" x14ac:dyDescent="0.2">
      <c r="A1087" s="31">
        <f t="shared" si="72"/>
        <v>1073</v>
      </c>
      <c r="B1087" s="9" t="s">
        <v>427</v>
      </c>
      <c r="C1087" s="32">
        <v>51125030042</v>
      </c>
      <c r="D1087" s="3" t="s">
        <v>2125</v>
      </c>
      <c r="E1087" s="36">
        <v>520</v>
      </c>
      <c r="F1087" s="36">
        <f t="shared" si="73"/>
        <v>494</v>
      </c>
      <c r="G1087" s="26">
        <f t="shared" si="74"/>
        <v>468</v>
      </c>
      <c r="H1087" s="26">
        <f t="shared" si="75"/>
        <v>442</v>
      </c>
    </row>
    <row r="1088" spans="1:8" x14ac:dyDescent="0.2">
      <c r="A1088" s="31">
        <f t="shared" si="72"/>
        <v>1074</v>
      </c>
      <c r="B1088" s="9" t="s">
        <v>581</v>
      </c>
      <c r="C1088" s="32">
        <v>5410900051</v>
      </c>
      <c r="D1088" s="3" t="s">
        <v>2126</v>
      </c>
      <c r="E1088" s="36">
        <f>E12*7.33</f>
        <v>542.41999999999996</v>
      </c>
      <c r="F1088" s="36">
        <f t="shared" si="73"/>
        <v>515.29899999999998</v>
      </c>
      <c r="G1088" s="26">
        <f t="shared" si="74"/>
        <v>488.17799999999994</v>
      </c>
      <c r="H1088" s="26">
        <f t="shared" si="75"/>
        <v>461.05699999999996</v>
      </c>
    </row>
    <row r="1089" spans="1:8" x14ac:dyDescent="0.2">
      <c r="A1089" s="31">
        <f t="shared" si="72"/>
        <v>1075</v>
      </c>
      <c r="B1089" s="9" t="s">
        <v>1158</v>
      </c>
      <c r="C1089" s="32">
        <v>81125030019</v>
      </c>
      <c r="D1089" s="3" t="s">
        <v>2127</v>
      </c>
      <c r="E1089" s="36">
        <f>E12*3.31</f>
        <v>244.94</v>
      </c>
      <c r="F1089" s="36">
        <f t="shared" si="73"/>
        <v>232.69299999999998</v>
      </c>
      <c r="G1089" s="26">
        <f t="shared" si="74"/>
        <v>220.446</v>
      </c>
      <c r="H1089" s="26">
        <f t="shared" si="75"/>
        <v>208.19900000000001</v>
      </c>
    </row>
    <row r="1090" spans="1:8" x14ac:dyDescent="0.2">
      <c r="A1090" s="31">
        <f t="shared" si="72"/>
        <v>1076</v>
      </c>
      <c r="B1090" s="9" t="s">
        <v>258</v>
      </c>
      <c r="C1090" s="32">
        <v>51125030012</v>
      </c>
      <c r="D1090" s="3" t="s">
        <v>2128</v>
      </c>
      <c r="E1090" s="36">
        <f>E12*3.83</f>
        <v>283.42</v>
      </c>
      <c r="F1090" s="36">
        <f t="shared" si="73"/>
        <v>269.24900000000002</v>
      </c>
      <c r="G1090" s="26">
        <f t="shared" si="74"/>
        <v>255.078</v>
      </c>
      <c r="H1090" s="26">
        <f t="shared" si="75"/>
        <v>240.90700000000001</v>
      </c>
    </row>
    <row r="1091" spans="1:8" x14ac:dyDescent="0.2">
      <c r="A1091" s="31">
        <f t="shared" si="72"/>
        <v>1077</v>
      </c>
      <c r="B1091" s="9" t="s">
        <v>100</v>
      </c>
      <c r="C1091" s="32"/>
      <c r="D1091" s="3" t="s">
        <v>101</v>
      </c>
      <c r="E1091" s="36">
        <f>E12*0.37</f>
        <v>27.38</v>
      </c>
      <c r="F1091" s="36">
        <f t="shared" si="73"/>
        <v>26.010999999999999</v>
      </c>
      <c r="G1091" s="26">
        <f t="shared" si="74"/>
        <v>24.641999999999999</v>
      </c>
      <c r="H1091" s="26">
        <f t="shared" si="75"/>
        <v>23.273</v>
      </c>
    </row>
    <row r="1092" spans="1:8" x14ac:dyDescent="0.2">
      <c r="A1092" s="31">
        <f t="shared" si="72"/>
        <v>1078</v>
      </c>
      <c r="B1092" s="9" t="s">
        <v>102</v>
      </c>
      <c r="C1092" s="32"/>
      <c r="D1092" s="3" t="s">
        <v>103</v>
      </c>
      <c r="E1092" s="36">
        <f>E12*0.52</f>
        <v>38.480000000000004</v>
      </c>
      <c r="F1092" s="36">
        <f t="shared" si="73"/>
        <v>36.556000000000004</v>
      </c>
      <c r="G1092" s="26">
        <f t="shared" si="74"/>
        <v>34.632000000000005</v>
      </c>
      <c r="H1092" s="26">
        <f t="shared" si="75"/>
        <v>32.708000000000006</v>
      </c>
    </row>
    <row r="1093" spans="1:8" x14ac:dyDescent="0.2">
      <c r="A1093" s="31">
        <f t="shared" si="72"/>
        <v>1079</v>
      </c>
      <c r="B1093" s="9" t="s">
        <v>457</v>
      </c>
      <c r="C1093" s="32"/>
      <c r="D1093" s="3" t="s">
        <v>297</v>
      </c>
      <c r="E1093" s="36">
        <f>E12*2.86</f>
        <v>211.64</v>
      </c>
      <c r="F1093" s="36">
        <f t="shared" si="73"/>
        <v>201.05799999999999</v>
      </c>
      <c r="G1093" s="26">
        <f t="shared" si="74"/>
        <v>190.476</v>
      </c>
      <c r="H1093" s="26">
        <f t="shared" si="75"/>
        <v>179.89400000000001</v>
      </c>
    </row>
    <row r="1094" spans="1:8" x14ac:dyDescent="0.2">
      <c r="A1094" s="31">
        <f t="shared" si="72"/>
        <v>1080</v>
      </c>
      <c r="B1094" s="9">
        <v>995110</v>
      </c>
      <c r="C1094" s="32"/>
      <c r="D1094" s="3" t="s">
        <v>104</v>
      </c>
      <c r="E1094" s="36">
        <f>E12*0.62</f>
        <v>45.88</v>
      </c>
      <c r="F1094" s="36">
        <f t="shared" si="73"/>
        <v>43.586000000000006</v>
      </c>
      <c r="G1094" s="26">
        <f t="shared" si="74"/>
        <v>41.292000000000002</v>
      </c>
      <c r="H1094" s="26">
        <f t="shared" si="75"/>
        <v>38.998000000000005</v>
      </c>
    </row>
    <row r="1095" spans="1:8" x14ac:dyDescent="0.2">
      <c r="A1095" s="31">
        <f t="shared" si="72"/>
        <v>1081</v>
      </c>
      <c r="B1095" s="9" t="s">
        <v>272</v>
      </c>
      <c r="C1095" s="32"/>
      <c r="D1095" s="3" t="s">
        <v>273</v>
      </c>
      <c r="E1095" s="36">
        <f>E12*0.78</f>
        <v>57.72</v>
      </c>
      <c r="F1095" s="36">
        <f t="shared" si="73"/>
        <v>54.833999999999996</v>
      </c>
      <c r="G1095" s="26">
        <f t="shared" si="74"/>
        <v>51.948</v>
      </c>
      <c r="H1095" s="26">
        <f t="shared" si="75"/>
        <v>49.061999999999998</v>
      </c>
    </row>
    <row r="1096" spans="1:8" x14ac:dyDescent="0.2">
      <c r="A1096" s="31">
        <f t="shared" si="72"/>
        <v>1082</v>
      </c>
      <c r="B1096" s="9" t="s">
        <v>1144</v>
      </c>
      <c r="C1096" s="32"/>
      <c r="D1096" s="3" t="s">
        <v>105</v>
      </c>
      <c r="E1096" s="36">
        <f>E12*0.85</f>
        <v>62.9</v>
      </c>
      <c r="F1096" s="36">
        <f t="shared" si="73"/>
        <v>59.754999999999995</v>
      </c>
      <c r="G1096" s="26">
        <f t="shared" si="74"/>
        <v>56.61</v>
      </c>
      <c r="H1096" s="26">
        <f t="shared" si="75"/>
        <v>53.465000000000003</v>
      </c>
    </row>
    <row r="1097" spans="1:8" x14ac:dyDescent="0.2">
      <c r="A1097" s="31">
        <f t="shared" si="72"/>
        <v>1083</v>
      </c>
      <c r="B1097" s="9" t="s">
        <v>106</v>
      </c>
      <c r="C1097" s="32"/>
      <c r="D1097" s="3" t="s">
        <v>1273</v>
      </c>
      <c r="E1097" s="36">
        <v>49</v>
      </c>
      <c r="F1097" s="36">
        <f t="shared" si="73"/>
        <v>46.55</v>
      </c>
      <c r="G1097" s="26">
        <f t="shared" si="74"/>
        <v>44.1</v>
      </c>
      <c r="H1097" s="26">
        <f t="shared" si="75"/>
        <v>41.65</v>
      </c>
    </row>
    <row r="1098" spans="1:8" x14ac:dyDescent="0.2">
      <c r="A1098" s="31">
        <f t="shared" si="72"/>
        <v>1084</v>
      </c>
      <c r="B1098" s="9">
        <v>505596</v>
      </c>
      <c r="C1098" s="32" t="s">
        <v>2130</v>
      </c>
      <c r="D1098" s="3" t="s">
        <v>2129</v>
      </c>
      <c r="E1098" s="36">
        <f>E12*38.65</f>
        <v>2860.1</v>
      </c>
      <c r="F1098" s="36">
        <f t="shared" si="73"/>
        <v>2717.0949999999998</v>
      </c>
      <c r="G1098" s="26">
        <f t="shared" si="74"/>
        <v>2574.09</v>
      </c>
      <c r="H1098" s="26">
        <f t="shared" si="75"/>
        <v>2431.085</v>
      </c>
    </row>
    <row r="1099" spans="1:8" x14ac:dyDescent="0.2">
      <c r="A1099" s="31">
        <f t="shared" si="72"/>
        <v>1085</v>
      </c>
      <c r="B1099" s="9" t="s">
        <v>964</v>
      </c>
      <c r="C1099" s="32" t="s">
        <v>2132</v>
      </c>
      <c r="D1099" s="3" t="s">
        <v>2131</v>
      </c>
      <c r="E1099" s="36">
        <f>E12*33.36</f>
        <v>2468.64</v>
      </c>
      <c r="F1099" s="36">
        <f t="shared" si="73"/>
        <v>2345.2080000000001</v>
      </c>
      <c r="G1099" s="26">
        <f t="shared" si="74"/>
        <v>2221.7759999999998</v>
      </c>
      <c r="H1099" s="26">
        <f t="shared" si="75"/>
        <v>2098.3440000000001</v>
      </c>
    </row>
    <row r="1100" spans="1:8" x14ac:dyDescent="0.2">
      <c r="A1100" s="31">
        <f t="shared" si="72"/>
        <v>1086</v>
      </c>
      <c r="B1100" s="9" t="s">
        <v>1159</v>
      </c>
      <c r="C1100" s="42" t="s">
        <v>2134</v>
      </c>
      <c r="D1100" s="3" t="s">
        <v>2133</v>
      </c>
      <c r="E1100" s="36">
        <f>E12*32.91</f>
        <v>2435.3399999999997</v>
      </c>
      <c r="F1100" s="36">
        <f t="shared" si="73"/>
        <v>2313.5729999999999</v>
      </c>
      <c r="G1100" s="26">
        <f t="shared" si="74"/>
        <v>2191.8059999999996</v>
      </c>
      <c r="H1100" s="26">
        <f t="shared" si="75"/>
        <v>2070.0389999999998</v>
      </c>
    </row>
    <row r="1101" spans="1:8" x14ac:dyDescent="0.2">
      <c r="A1101" s="31">
        <f t="shared" si="72"/>
        <v>1087</v>
      </c>
      <c r="B1101" s="9" t="s">
        <v>907</v>
      </c>
      <c r="C1101" s="32" t="s">
        <v>2136</v>
      </c>
      <c r="D1101" s="3" t="s">
        <v>2135</v>
      </c>
      <c r="E1101" s="36">
        <f>E12*9.25</f>
        <v>684.5</v>
      </c>
      <c r="F1101" s="36">
        <f t="shared" si="73"/>
        <v>650.27499999999998</v>
      </c>
      <c r="G1101" s="26">
        <f t="shared" si="74"/>
        <v>616.04999999999995</v>
      </c>
      <c r="H1101" s="26">
        <f t="shared" si="75"/>
        <v>581.82500000000005</v>
      </c>
    </row>
    <row r="1102" spans="1:8" x14ac:dyDescent="0.2">
      <c r="A1102" s="31">
        <f t="shared" si="72"/>
        <v>1088</v>
      </c>
      <c r="B1102" s="9" t="s">
        <v>1001</v>
      </c>
      <c r="C1102" s="32" t="s">
        <v>2138</v>
      </c>
      <c r="D1102" s="3" t="s">
        <v>2137</v>
      </c>
      <c r="E1102" s="36">
        <f>E12*9.25</f>
        <v>684.5</v>
      </c>
      <c r="F1102" s="36">
        <f t="shared" si="73"/>
        <v>650.27499999999998</v>
      </c>
      <c r="G1102" s="26">
        <f t="shared" si="74"/>
        <v>616.04999999999995</v>
      </c>
      <c r="H1102" s="26">
        <f t="shared" si="75"/>
        <v>581.82500000000005</v>
      </c>
    </row>
    <row r="1103" spans="1:8" x14ac:dyDescent="0.2">
      <c r="A1103" s="31">
        <f t="shared" si="72"/>
        <v>1089</v>
      </c>
      <c r="B1103" s="9" t="s">
        <v>557</v>
      </c>
      <c r="C1103" s="32">
        <v>6138200061</v>
      </c>
      <c r="D1103" s="3" t="s">
        <v>2139</v>
      </c>
      <c r="E1103" s="36">
        <f>E12*97.68</f>
        <v>7228.3200000000006</v>
      </c>
      <c r="F1103" s="36">
        <f t="shared" si="73"/>
        <v>6866.9040000000005</v>
      </c>
      <c r="G1103" s="26">
        <f t="shared" si="74"/>
        <v>6505.4880000000003</v>
      </c>
      <c r="H1103" s="26">
        <f t="shared" si="75"/>
        <v>6144.0720000000001</v>
      </c>
    </row>
    <row r="1104" spans="1:8" x14ac:dyDescent="0.2">
      <c r="A1104" s="31">
        <f t="shared" si="72"/>
        <v>1090</v>
      </c>
      <c r="B1104" s="9" t="s">
        <v>558</v>
      </c>
      <c r="C1104" s="32">
        <v>6138200161</v>
      </c>
      <c r="D1104" s="3" t="s">
        <v>2140</v>
      </c>
      <c r="E1104" s="36">
        <f>E12*97.68</f>
        <v>7228.3200000000006</v>
      </c>
      <c r="F1104" s="36">
        <f t="shared" si="73"/>
        <v>6866.9040000000005</v>
      </c>
      <c r="G1104" s="26">
        <f t="shared" si="74"/>
        <v>6505.4880000000003</v>
      </c>
      <c r="H1104" s="26">
        <f t="shared" si="75"/>
        <v>6144.0720000000001</v>
      </c>
    </row>
    <row r="1105" spans="1:8" x14ac:dyDescent="0.2">
      <c r="A1105" s="31">
        <f t="shared" ref="A1105:A1168" si="76">A1104+1</f>
        <v>1091</v>
      </c>
      <c r="B1105" s="9" t="s">
        <v>1182</v>
      </c>
      <c r="C1105" s="32" t="s">
        <v>2142</v>
      </c>
      <c r="D1105" s="3" t="s">
        <v>2141</v>
      </c>
      <c r="E1105" s="36">
        <f>E12*60.72</f>
        <v>4493.28</v>
      </c>
      <c r="F1105" s="36">
        <f t="shared" si="73"/>
        <v>4268.616</v>
      </c>
      <c r="G1105" s="26">
        <f t="shared" si="74"/>
        <v>4043.9519999999998</v>
      </c>
      <c r="H1105" s="26">
        <f t="shared" si="75"/>
        <v>3819.2879999999996</v>
      </c>
    </row>
    <row r="1106" spans="1:8" x14ac:dyDescent="0.2">
      <c r="A1106" s="31">
        <f t="shared" si="76"/>
        <v>1092</v>
      </c>
      <c r="B1106" s="9" t="s">
        <v>600</v>
      </c>
      <c r="C1106" s="32" t="s">
        <v>2144</v>
      </c>
      <c r="D1106" s="3" t="s">
        <v>2143</v>
      </c>
      <c r="E1106" s="36">
        <f>E12*60.72</f>
        <v>4493.28</v>
      </c>
      <c r="F1106" s="36">
        <f t="shared" si="73"/>
        <v>4268.616</v>
      </c>
      <c r="G1106" s="26">
        <f t="shared" si="74"/>
        <v>4043.9519999999998</v>
      </c>
      <c r="H1106" s="26">
        <f t="shared" si="75"/>
        <v>3819.2879999999996</v>
      </c>
    </row>
    <row r="1107" spans="1:8" x14ac:dyDescent="0.2">
      <c r="A1107" s="31">
        <f t="shared" si="76"/>
        <v>1093</v>
      </c>
      <c r="B1107" s="9" t="s">
        <v>1028</v>
      </c>
      <c r="C1107" s="32">
        <v>6138200261</v>
      </c>
      <c r="D1107" s="3" t="s">
        <v>2145</v>
      </c>
      <c r="E1107" s="36">
        <f>E12*68.21</f>
        <v>5047.54</v>
      </c>
      <c r="F1107" s="36">
        <f t="shared" si="73"/>
        <v>4795.1629999999996</v>
      </c>
      <c r="G1107" s="26">
        <f t="shared" si="74"/>
        <v>4542.7860000000001</v>
      </c>
      <c r="H1107" s="26">
        <f t="shared" si="75"/>
        <v>4290.4089999999997</v>
      </c>
    </row>
    <row r="1108" spans="1:8" x14ac:dyDescent="0.2">
      <c r="A1108" s="31">
        <f t="shared" si="76"/>
        <v>1094</v>
      </c>
      <c r="B1108" s="9" t="s">
        <v>217</v>
      </c>
      <c r="C1108" s="32"/>
      <c r="D1108" s="3" t="s">
        <v>2146</v>
      </c>
      <c r="E1108" s="36">
        <f>E12*4.58</f>
        <v>338.92</v>
      </c>
      <c r="F1108" s="36">
        <f t="shared" si="73"/>
        <v>321.97399999999999</v>
      </c>
      <c r="G1108" s="26">
        <f t="shared" si="74"/>
        <v>305.02800000000002</v>
      </c>
      <c r="H1108" s="26">
        <f t="shared" si="75"/>
        <v>288.08199999999999</v>
      </c>
    </row>
    <row r="1109" spans="1:8" x14ac:dyDescent="0.2">
      <c r="A1109" s="31">
        <f t="shared" si="76"/>
        <v>1095</v>
      </c>
      <c r="B1109" s="9" t="s">
        <v>824</v>
      </c>
      <c r="C1109" s="32"/>
      <c r="D1109" s="3" t="s">
        <v>2147</v>
      </c>
      <c r="E1109" s="36">
        <f>E12*4.58</f>
        <v>338.92</v>
      </c>
      <c r="F1109" s="36">
        <f t="shared" si="73"/>
        <v>321.97399999999999</v>
      </c>
      <c r="G1109" s="26">
        <f t="shared" si="74"/>
        <v>305.02800000000002</v>
      </c>
      <c r="H1109" s="26">
        <f t="shared" si="75"/>
        <v>288.08199999999999</v>
      </c>
    </row>
    <row r="1110" spans="1:8" x14ac:dyDescent="0.2">
      <c r="A1110" s="31">
        <f t="shared" si="76"/>
        <v>1096</v>
      </c>
      <c r="B1110" s="9" t="s">
        <v>253</v>
      </c>
      <c r="C1110" s="32"/>
      <c r="D1110" s="3" t="s">
        <v>2148</v>
      </c>
      <c r="E1110" s="36">
        <f>E12*2.95</f>
        <v>218.3</v>
      </c>
      <c r="F1110" s="36">
        <f t="shared" si="73"/>
        <v>207.38500000000002</v>
      </c>
      <c r="G1110" s="26">
        <f t="shared" si="74"/>
        <v>196.47</v>
      </c>
      <c r="H1110" s="26">
        <f t="shared" si="75"/>
        <v>185.55500000000001</v>
      </c>
    </row>
    <row r="1111" spans="1:8" x14ac:dyDescent="0.2">
      <c r="A1111" s="31">
        <f t="shared" si="76"/>
        <v>1097</v>
      </c>
      <c r="B1111" s="9" t="s">
        <v>267</v>
      </c>
      <c r="C1111" s="32"/>
      <c r="D1111" s="3" t="s">
        <v>2149</v>
      </c>
      <c r="E1111" s="36">
        <f>E12*3.41</f>
        <v>252.34</v>
      </c>
      <c r="F1111" s="36">
        <f t="shared" si="73"/>
        <v>239.72300000000001</v>
      </c>
      <c r="G1111" s="26">
        <f t="shared" si="74"/>
        <v>227.10599999999999</v>
      </c>
      <c r="H1111" s="26">
        <f t="shared" si="75"/>
        <v>214.489</v>
      </c>
    </row>
    <row r="1112" spans="1:8" x14ac:dyDescent="0.2">
      <c r="A1112" s="31">
        <f t="shared" si="76"/>
        <v>1098</v>
      </c>
      <c r="B1112" s="9" t="s">
        <v>590</v>
      </c>
      <c r="C1112" s="32"/>
      <c r="D1112" s="3" t="s">
        <v>2150</v>
      </c>
      <c r="E1112" s="36">
        <f>E12*3.91</f>
        <v>289.34000000000003</v>
      </c>
      <c r="F1112" s="36">
        <f t="shared" si="73"/>
        <v>274.87300000000005</v>
      </c>
      <c r="G1112" s="26">
        <f t="shared" si="74"/>
        <v>260.40600000000001</v>
      </c>
      <c r="H1112" s="26">
        <f t="shared" si="75"/>
        <v>245.93900000000002</v>
      </c>
    </row>
    <row r="1113" spans="1:8" x14ac:dyDescent="0.2">
      <c r="A1113" s="31">
        <f t="shared" si="76"/>
        <v>1099</v>
      </c>
      <c r="B1113" s="9" t="s">
        <v>295</v>
      </c>
      <c r="C1113" s="32"/>
      <c r="D1113" s="3" t="s">
        <v>296</v>
      </c>
      <c r="E1113" s="36">
        <f>E12*3.41</f>
        <v>252.34</v>
      </c>
      <c r="F1113" s="36">
        <f t="shared" si="73"/>
        <v>239.72300000000001</v>
      </c>
      <c r="G1113" s="26">
        <f t="shared" si="74"/>
        <v>227.10599999999999</v>
      </c>
      <c r="H1113" s="26">
        <f t="shared" si="75"/>
        <v>214.489</v>
      </c>
    </row>
    <row r="1114" spans="1:8" x14ac:dyDescent="0.2">
      <c r="A1114" s="31">
        <f t="shared" si="76"/>
        <v>1100</v>
      </c>
      <c r="B1114" s="9" t="s">
        <v>494</v>
      </c>
      <c r="C1114" s="32"/>
      <c r="D1114" s="3" t="s">
        <v>313</v>
      </c>
      <c r="E1114" s="36">
        <f>E12*3.41</f>
        <v>252.34</v>
      </c>
      <c r="F1114" s="36">
        <f t="shared" si="73"/>
        <v>239.72300000000001</v>
      </c>
      <c r="G1114" s="26">
        <f t="shared" si="74"/>
        <v>227.10599999999999</v>
      </c>
      <c r="H1114" s="26">
        <f t="shared" si="75"/>
        <v>214.489</v>
      </c>
    </row>
    <row r="1115" spans="1:8" x14ac:dyDescent="0.2">
      <c r="A1115" s="31">
        <f t="shared" si="76"/>
        <v>1101</v>
      </c>
      <c r="B1115" s="9" t="s">
        <v>362</v>
      </c>
      <c r="C1115" s="32"/>
      <c r="D1115" s="3" t="s">
        <v>2151</v>
      </c>
      <c r="E1115" s="36">
        <f>E12*1.16</f>
        <v>85.839999999999989</v>
      </c>
      <c r="F1115" s="36">
        <f t="shared" si="73"/>
        <v>81.547999999999988</v>
      </c>
      <c r="G1115" s="26">
        <f t="shared" si="74"/>
        <v>77.255999999999986</v>
      </c>
      <c r="H1115" s="26">
        <f t="shared" si="75"/>
        <v>72.963999999999999</v>
      </c>
    </row>
    <row r="1116" spans="1:8" x14ac:dyDescent="0.2">
      <c r="A1116" s="31">
        <f t="shared" si="76"/>
        <v>1102</v>
      </c>
      <c r="B1116" s="9" t="s">
        <v>443</v>
      </c>
      <c r="C1116" s="32"/>
      <c r="D1116" s="3" t="s">
        <v>2152</v>
      </c>
      <c r="E1116" s="36">
        <f>E12*6.16</f>
        <v>455.84000000000003</v>
      </c>
      <c r="F1116" s="36">
        <f t="shared" si="73"/>
        <v>433.048</v>
      </c>
      <c r="G1116" s="26">
        <f t="shared" si="74"/>
        <v>410.25600000000003</v>
      </c>
      <c r="H1116" s="26">
        <f t="shared" si="75"/>
        <v>387.46400000000006</v>
      </c>
    </row>
    <row r="1117" spans="1:8" x14ac:dyDescent="0.2">
      <c r="A1117" s="31">
        <f t="shared" si="76"/>
        <v>1103</v>
      </c>
      <c r="B1117" s="9" t="s">
        <v>444</v>
      </c>
      <c r="C1117" s="32"/>
      <c r="D1117" s="3" t="s">
        <v>2153</v>
      </c>
      <c r="E1117" s="36">
        <f>E12*6.16</f>
        <v>455.84000000000003</v>
      </c>
      <c r="F1117" s="36">
        <f t="shared" si="73"/>
        <v>433.048</v>
      </c>
      <c r="G1117" s="26">
        <f t="shared" si="74"/>
        <v>410.25600000000003</v>
      </c>
      <c r="H1117" s="26">
        <f t="shared" si="75"/>
        <v>387.46400000000006</v>
      </c>
    </row>
    <row r="1118" spans="1:8" x14ac:dyDescent="0.2">
      <c r="A1118" s="31">
        <f t="shared" si="76"/>
        <v>1104</v>
      </c>
      <c r="B1118" s="9" t="s">
        <v>391</v>
      </c>
      <c r="C1118" s="32"/>
      <c r="D1118" s="3" t="s">
        <v>2154</v>
      </c>
      <c r="E1118" s="36">
        <f>E12*10.95</f>
        <v>810.3</v>
      </c>
      <c r="F1118" s="36">
        <f t="shared" si="73"/>
        <v>769.78499999999997</v>
      </c>
      <c r="G1118" s="26">
        <f t="shared" si="74"/>
        <v>729.27</v>
      </c>
      <c r="H1118" s="26">
        <f t="shared" si="75"/>
        <v>688.755</v>
      </c>
    </row>
    <row r="1119" spans="1:8" x14ac:dyDescent="0.2">
      <c r="A1119" s="31">
        <f t="shared" si="76"/>
        <v>1105</v>
      </c>
      <c r="B1119" s="9" t="s">
        <v>431</v>
      </c>
      <c r="C1119" s="32"/>
      <c r="D1119" s="3" t="s">
        <v>2155</v>
      </c>
      <c r="E1119" s="36">
        <f>E12*10.91</f>
        <v>807.34</v>
      </c>
      <c r="F1119" s="36">
        <f t="shared" si="73"/>
        <v>766.97300000000007</v>
      </c>
      <c r="G1119" s="26">
        <f t="shared" si="74"/>
        <v>726.60599999999999</v>
      </c>
      <c r="H1119" s="26">
        <f t="shared" si="75"/>
        <v>686.23900000000003</v>
      </c>
    </row>
    <row r="1120" spans="1:8" x14ac:dyDescent="0.2">
      <c r="A1120" s="31">
        <f t="shared" si="76"/>
        <v>1106</v>
      </c>
      <c r="B1120" s="9" t="s">
        <v>392</v>
      </c>
      <c r="C1120" s="32"/>
      <c r="D1120" s="3" t="s">
        <v>2156</v>
      </c>
      <c r="E1120" s="36">
        <f>E12*6.6</f>
        <v>488.4</v>
      </c>
      <c r="F1120" s="36">
        <f t="shared" si="73"/>
        <v>463.97999999999996</v>
      </c>
      <c r="G1120" s="26">
        <f t="shared" si="74"/>
        <v>439.55999999999995</v>
      </c>
      <c r="H1120" s="26">
        <f t="shared" si="75"/>
        <v>415.14</v>
      </c>
    </row>
    <row r="1121" spans="1:8" x14ac:dyDescent="0.2">
      <c r="A1121" s="31">
        <f t="shared" si="76"/>
        <v>1107</v>
      </c>
      <c r="B1121" s="9" t="s">
        <v>390</v>
      </c>
      <c r="C1121" s="32"/>
      <c r="D1121" s="3" t="s">
        <v>2157</v>
      </c>
      <c r="E1121" s="36">
        <f>E12*6.16</f>
        <v>455.84000000000003</v>
      </c>
      <c r="F1121" s="36">
        <f t="shared" si="73"/>
        <v>433.048</v>
      </c>
      <c r="G1121" s="26">
        <f t="shared" si="74"/>
        <v>410.25600000000003</v>
      </c>
      <c r="H1121" s="26">
        <f t="shared" si="75"/>
        <v>387.46400000000006</v>
      </c>
    </row>
    <row r="1122" spans="1:8" x14ac:dyDescent="0.2">
      <c r="A1122" s="31">
        <f t="shared" si="76"/>
        <v>1108</v>
      </c>
      <c r="B1122" s="9">
        <v>970207</v>
      </c>
      <c r="C1122" s="32"/>
      <c r="D1122" s="3" t="s">
        <v>2158</v>
      </c>
      <c r="E1122" s="36">
        <f>E12*6.25</f>
        <v>462.5</v>
      </c>
      <c r="F1122" s="36">
        <f t="shared" si="73"/>
        <v>439.375</v>
      </c>
      <c r="G1122" s="26">
        <f t="shared" si="74"/>
        <v>416.25</v>
      </c>
      <c r="H1122" s="26">
        <f t="shared" si="75"/>
        <v>393.125</v>
      </c>
    </row>
    <row r="1123" spans="1:8" x14ac:dyDescent="0.2">
      <c r="A1123" s="31">
        <f t="shared" si="76"/>
        <v>1109</v>
      </c>
      <c r="B1123" s="9" t="s">
        <v>1133</v>
      </c>
      <c r="C1123" s="32"/>
      <c r="D1123" s="3" t="s">
        <v>2159</v>
      </c>
      <c r="E1123" s="36">
        <f>E12*5.83</f>
        <v>431.42</v>
      </c>
      <c r="F1123" s="36">
        <f t="shared" si="73"/>
        <v>409.84899999999999</v>
      </c>
      <c r="G1123" s="26">
        <f t="shared" si="74"/>
        <v>388.27800000000002</v>
      </c>
      <c r="H1123" s="26">
        <f t="shared" si="75"/>
        <v>366.70699999999999</v>
      </c>
    </row>
    <row r="1124" spans="1:8" x14ac:dyDescent="0.2">
      <c r="A1124" s="31">
        <f t="shared" si="76"/>
        <v>1110</v>
      </c>
      <c r="B1124" s="9" t="s">
        <v>393</v>
      </c>
      <c r="C1124" s="32"/>
      <c r="D1124" s="3" t="s">
        <v>2160</v>
      </c>
      <c r="E1124" s="36">
        <f>E12*8.11</f>
        <v>600.14</v>
      </c>
      <c r="F1124" s="36">
        <f t="shared" ref="F1124:F1174" si="77">E1124-E1124*5%</f>
        <v>570.13300000000004</v>
      </c>
      <c r="G1124" s="26">
        <f t="shared" ref="G1124:G1174" si="78">E1124-E1124*10%</f>
        <v>540.12599999999998</v>
      </c>
      <c r="H1124" s="26">
        <f t="shared" ref="H1124:H1174" si="79">E1124-E1124*15%</f>
        <v>510.11899999999997</v>
      </c>
    </row>
    <row r="1125" spans="1:8" x14ac:dyDescent="0.2">
      <c r="A1125" s="31">
        <f t="shared" si="76"/>
        <v>1111</v>
      </c>
      <c r="B1125" s="9" t="s">
        <v>2162</v>
      </c>
      <c r="C1125" s="32"/>
      <c r="D1125" s="3" t="s">
        <v>2161</v>
      </c>
      <c r="E1125" s="36">
        <f>E12*11.5</f>
        <v>851</v>
      </c>
      <c r="F1125" s="36">
        <f t="shared" si="77"/>
        <v>808.45</v>
      </c>
      <c r="G1125" s="26">
        <f t="shared" si="78"/>
        <v>765.9</v>
      </c>
      <c r="H1125" s="26">
        <f t="shared" si="79"/>
        <v>723.35</v>
      </c>
    </row>
    <row r="1126" spans="1:8" s="29" customFormat="1" x14ac:dyDescent="0.2">
      <c r="A1126" s="31">
        <f t="shared" si="76"/>
        <v>1112</v>
      </c>
      <c r="B1126" s="32">
        <v>170246</v>
      </c>
      <c r="C1126" s="32"/>
      <c r="D1126" s="31" t="s">
        <v>511</v>
      </c>
      <c r="E1126" s="36">
        <f>E12*11.5</f>
        <v>851</v>
      </c>
      <c r="F1126" s="36">
        <f t="shared" si="77"/>
        <v>808.45</v>
      </c>
      <c r="G1126" s="26">
        <f t="shared" si="78"/>
        <v>765.9</v>
      </c>
      <c r="H1126" s="26">
        <f t="shared" si="79"/>
        <v>723.35</v>
      </c>
    </row>
    <row r="1127" spans="1:8" s="29" customFormat="1" x14ac:dyDescent="0.2">
      <c r="A1127" s="31">
        <f t="shared" si="76"/>
        <v>1113</v>
      </c>
      <c r="B1127" s="32">
        <v>170247</v>
      </c>
      <c r="C1127" s="32"/>
      <c r="D1127" s="31" t="s">
        <v>2163</v>
      </c>
      <c r="E1127" s="36">
        <f>E12*11.58</f>
        <v>856.92</v>
      </c>
      <c r="F1127" s="36">
        <f t="shared" si="77"/>
        <v>814.07399999999996</v>
      </c>
      <c r="G1127" s="26">
        <f t="shared" si="78"/>
        <v>771.22799999999995</v>
      </c>
      <c r="H1127" s="26">
        <f t="shared" si="79"/>
        <v>728.38199999999995</v>
      </c>
    </row>
    <row r="1128" spans="1:8" x14ac:dyDescent="0.2">
      <c r="A1128" s="31">
        <f t="shared" si="76"/>
        <v>1114</v>
      </c>
      <c r="B1128" s="9" t="s">
        <v>565</v>
      </c>
      <c r="C1128" s="32"/>
      <c r="D1128" s="3" t="s">
        <v>2164</v>
      </c>
      <c r="E1128" s="36">
        <f>E12*9.91</f>
        <v>733.34</v>
      </c>
      <c r="F1128" s="36">
        <f t="shared" si="77"/>
        <v>696.673</v>
      </c>
      <c r="G1128" s="26">
        <f t="shared" si="78"/>
        <v>660.00600000000009</v>
      </c>
      <c r="H1128" s="26">
        <f t="shared" si="79"/>
        <v>623.33900000000006</v>
      </c>
    </row>
    <row r="1129" spans="1:8" x14ac:dyDescent="0.2">
      <c r="A1129" s="31">
        <f t="shared" si="76"/>
        <v>1115</v>
      </c>
      <c r="B1129" s="9" t="s">
        <v>2166</v>
      </c>
      <c r="C1129" s="32">
        <v>6138200464</v>
      </c>
      <c r="D1129" s="3" t="s">
        <v>2165</v>
      </c>
      <c r="E1129" s="36">
        <f>E12*129.58</f>
        <v>9588.92</v>
      </c>
      <c r="F1129" s="36">
        <f t="shared" si="77"/>
        <v>9109.4740000000002</v>
      </c>
      <c r="G1129" s="26">
        <f t="shared" si="78"/>
        <v>8630.0280000000002</v>
      </c>
      <c r="H1129" s="26">
        <f t="shared" si="79"/>
        <v>8150.5820000000003</v>
      </c>
    </row>
    <row r="1130" spans="1:8" x14ac:dyDescent="0.2">
      <c r="A1130" s="31">
        <f t="shared" si="76"/>
        <v>1116</v>
      </c>
      <c r="B1130" s="9" t="s">
        <v>2167</v>
      </c>
      <c r="C1130" s="32">
        <v>6138200363</v>
      </c>
      <c r="D1130" s="3" t="s">
        <v>2168</v>
      </c>
      <c r="E1130" s="36">
        <f>E12*129.58</f>
        <v>9588.92</v>
      </c>
      <c r="F1130" s="36">
        <f t="shared" si="77"/>
        <v>9109.4740000000002</v>
      </c>
      <c r="G1130" s="26">
        <f t="shared" si="78"/>
        <v>8630.0280000000002</v>
      </c>
      <c r="H1130" s="26">
        <f t="shared" si="79"/>
        <v>8150.5820000000003</v>
      </c>
    </row>
    <row r="1131" spans="1:8" x14ac:dyDescent="0.2">
      <c r="A1131" s="31">
        <f t="shared" si="76"/>
        <v>1117</v>
      </c>
      <c r="B1131" s="9" t="s">
        <v>728</v>
      </c>
      <c r="C1131" s="32"/>
      <c r="D1131" s="3" t="s">
        <v>2169</v>
      </c>
      <c r="E1131" s="36">
        <f>E12*11.25</f>
        <v>832.5</v>
      </c>
      <c r="F1131" s="36">
        <f t="shared" si="77"/>
        <v>790.875</v>
      </c>
      <c r="G1131" s="26">
        <f t="shared" si="78"/>
        <v>749.25</v>
      </c>
      <c r="H1131" s="26">
        <f t="shared" si="79"/>
        <v>707.625</v>
      </c>
    </row>
    <row r="1132" spans="1:8" x14ac:dyDescent="0.2">
      <c r="A1132" s="31">
        <f t="shared" si="76"/>
        <v>1118</v>
      </c>
      <c r="B1132" s="9" t="s">
        <v>1153</v>
      </c>
      <c r="C1132" s="32"/>
      <c r="D1132" s="3" t="s">
        <v>2170</v>
      </c>
      <c r="E1132" s="36">
        <f>E12*5.33</f>
        <v>394.42</v>
      </c>
      <c r="F1132" s="36">
        <f t="shared" si="77"/>
        <v>374.69900000000001</v>
      </c>
      <c r="G1132" s="26">
        <f t="shared" si="78"/>
        <v>354.97800000000001</v>
      </c>
      <c r="H1132" s="26">
        <f t="shared" si="79"/>
        <v>335.25700000000001</v>
      </c>
    </row>
    <row r="1133" spans="1:8" x14ac:dyDescent="0.2">
      <c r="A1133" s="31">
        <f t="shared" si="76"/>
        <v>1119</v>
      </c>
      <c r="B1133" s="9" t="s">
        <v>607</v>
      </c>
      <c r="C1133" s="32">
        <v>6138201356</v>
      </c>
      <c r="D1133" s="3" t="s">
        <v>2171</v>
      </c>
      <c r="E1133" s="36">
        <f>E12*28.66</f>
        <v>2120.84</v>
      </c>
      <c r="F1133" s="36">
        <f t="shared" si="77"/>
        <v>2014.7980000000002</v>
      </c>
      <c r="G1133" s="26">
        <f t="shared" si="78"/>
        <v>1908.7560000000001</v>
      </c>
      <c r="H1133" s="26">
        <f t="shared" si="79"/>
        <v>1802.7140000000002</v>
      </c>
    </row>
    <row r="1134" spans="1:8" x14ac:dyDescent="0.2">
      <c r="A1134" s="31">
        <f t="shared" si="76"/>
        <v>1120</v>
      </c>
      <c r="B1134" s="9" t="s">
        <v>608</v>
      </c>
      <c r="C1134" s="32">
        <v>6138201456</v>
      </c>
      <c r="D1134" s="3" t="s">
        <v>2172</v>
      </c>
      <c r="E1134" s="36">
        <f>E12*28.66</f>
        <v>2120.84</v>
      </c>
      <c r="F1134" s="36">
        <f t="shared" si="77"/>
        <v>2014.7980000000002</v>
      </c>
      <c r="G1134" s="26">
        <f t="shared" si="78"/>
        <v>1908.7560000000001</v>
      </c>
      <c r="H1134" s="26">
        <f t="shared" si="79"/>
        <v>1802.7140000000002</v>
      </c>
    </row>
    <row r="1135" spans="1:8" x14ac:dyDescent="0.2">
      <c r="A1135" s="31">
        <f t="shared" si="76"/>
        <v>1121</v>
      </c>
      <c r="B1135" s="9" t="s">
        <v>1029</v>
      </c>
      <c r="C1135" s="32">
        <v>6138202156</v>
      </c>
      <c r="D1135" s="3" t="s">
        <v>2173</v>
      </c>
      <c r="E1135" s="36">
        <f>E12*27.5</f>
        <v>2035</v>
      </c>
      <c r="F1135" s="36">
        <f t="shared" si="77"/>
        <v>1933.25</v>
      </c>
      <c r="G1135" s="26">
        <f t="shared" si="78"/>
        <v>1831.5</v>
      </c>
      <c r="H1135" s="26">
        <f t="shared" si="79"/>
        <v>1729.75</v>
      </c>
    </row>
    <row r="1136" spans="1:8" x14ac:dyDescent="0.2">
      <c r="A1136" s="31">
        <f t="shared" si="76"/>
        <v>1122</v>
      </c>
      <c r="B1136" s="9" t="s">
        <v>832</v>
      </c>
      <c r="C1136" s="32">
        <v>6138201621</v>
      </c>
      <c r="D1136" s="3" t="s">
        <v>2174</v>
      </c>
      <c r="E1136" s="36">
        <f>E12*4.58</f>
        <v>338.92</v>
      </c>
      <c r="F1136" s="36">
        <f t="shared" si="77"/>
        <v>321.97399999999999</v>
      </c>
      <c r="G1136" s="26">
        <f t="shared" si="78"/>
        <v>305.02800000000002</v>
      </c>
      <c r="H1136" s="26">
        <f t="shared" si="79"/>
        <v>288.08199999999999</v>
      </c>
    </row>
    <row r="1137" spans="1:8" x14ac:dyDescent="0.2">
      <c r="A1137" s="31">
        <f t="shared" si="76"/>
        <v>1123</v>
      </c>
      <c r="B1137" s="9" t="s">
        <v>456</v>
      </c>
      <c r="C1137" s="32"/>
      <c r="D1137" s="3" t="s">
        <v>2175</v>
      </c>
      <c r="E1137" s="36">
        <f>E12*4.58</f>
        <v>338.92</v>
      </c>
      <c r="F1137" s="36">
        <f t="shared" si="77"/>
        <v>321.97399999999999</v>
      </c>
      <c r="G1137" s="26">
        <f t="shared" si="78"/>
        <v>305.02800000000002</v>
      </c>
      <c r="H1137" s="26">
        <f t="shared" si="79"/>
        <v>288.08199999999999</v>
      </c>
    </row>
    <row r="1138" spans="1:8" x14ac:dyDescent="0.2">
      <c r="A1138" s="31">
        <f t="shared" si="76"/>
        <v>1124</v>
      </c>
      <c r="B1138" s="9" t="s">
        <v>251</v>
      </c>
      <c r="C1138" s="32"/>
      <c r="D1138" s="3" t="s">
        <v>2176</v>
      </c>
      <c r="E1138" s="36">
        <f>E12*3.16</f>
        <v>233.84</v>
      </c>
      <c r="F1138" s="36">
        <f t="shared" si="77"/>
        <v>222.148</v>
      </c>
      <c r="G1138" s="26">
        <f t="shared" si="78"/>
        <v>210.45600000000002</v>
      </c>
      <c r="H1138" s="26">
        <f t="shared" si="79"/>
        <v>198.76400000000001</v>
      </c>
    </row>
    <row r="1139" spans="1:8" x14ac:dyDescent="0.2">
      <c r="A1139" s="31">
        <f t="shared" si="76"/>
        <v>1125</v>
      </c>
      <c r="B1139" s="9" t="s">
        <v>1076</v>
      </c>
      <c r="C1139" s="32">
        <v>521312</v>
      </c>
      <c r="D1139" s="3" t="s">
        <v>2177</v>
      </c>
      <c r="E1139" s="36">
        <f>E12*12.11</f>
        <v>896.14</v>
      </c>
      <c r="F1139" s="36">
        <f t="shared" si="77"/>
        <v>851.33299999999997</v>
      </c>
      <c r="G1139" s="26">
        <f t="shared" si="78"/>
        <v>806.52599999999995</v>
      </c>
      <c r="H1139" s="26">
        <f t="shared" si="79"/>
        <v>761.71900000000005</v>
      </c>
    </row>
    <row r="1140" spans="1:8" x14ac:dyDescent="0.2">
      <c r="A1140" s="31">
        <f t="shared" si="76"/>
        <v>1126</v>
      </c>
      <c r="B1140" s="9" t="s">
        <v>1077</v>
      </c>
      <c r="C1140" s="32">
        <v>505603</v>
      </c>
      <c r="D1140" s="3" t="s">
        <v>2178</v>
      </c>
      <c r="E1140" s="36">
        <f>E12*5.71</f>
        <v>422.54</v>
      </c>
      <c r="F1140" s="36">
        <f t="shared" si="77"/>
        <v>401.41300000000001</v>
      </c>
      <c r="G1140" s="26">
        <f t="shared" si="78"/>
        <v>380.286</v>
      </c>
      <c r="H1140" s="26">
        <f t="shared" si="79"/>
        <v>359.15899999999999</v>
      </c>
    </row>
    <row r="1141" spans="1:8" x14ac:dyDescent="0.2">
      <c r="A1141" s="31">
        <f t="shared" si="76"/>
        <v>1127</v>
      </c>
      <c r="B1141" s="9" t="s">
        <v>585</v>
      </c>
      <c r="C1141" s="32">
        <v>303101011</v>
      </c>
      <c r="D1141" s="3" t="s">
        <v>2179</v>
      </c>
      <c r="E1141" s="36">
        <f>E12*3.46</f>
        <v>256.04000000000002</v>
      </c>
      <c r="F1141" s="36">
        <f t="shared" si="77"/>
        <v>243.23800000000003</v>
      </c>
      <c r="G1141" s="26">
        <f t="shared" si="78"/>
        <v>230.43600000000001</v>
      </c>
      <c r="H1141" s="26">
        <f t="shared" si="79"/>
        <v>217.63400000000001</v>
      </c>
    </row>
    <row r="1142" spans="1:8" x14ac:dyDescent="0.2">
      <c r="A1142" s="31">
        <f t="shared" si="76"/>
        <v>1128</v>
      </c>
      <c r="B1142" s="9" t="s">
        <v>530</v>
      </c>
      <c r="C1142" s="32">
        <v>303101011</v>
      </c>
      <c r="D1142" s="3" t="s">
        <v>2180</v>
      </c>
      <c r="E1142" s="36">
        <f>E12*3.46</f>
        <v>256.04000000000002</v>
      </c>
      <c r="F1142" s="36">
        <f t="shared" si="77"/>
        <v>243.23800000000003</v>
      </c>
      <c r="G1142" s="26">
        <f t="shared" si="78"/>
        <v>230.43600000000001</v>
      </c>
      <c r="H1142" s="26">
        <f t="shared" si="79"/>
        <v>217.63400000000001</v>
      </c>
    </row>
    <row r="1143" spans="1:8" x14ac:dyDescent="0.2">
      <c r="A1143" s="31">
        <f t="shared" si="76"/>
        <v>1129</v>
      </c>
      <c r="B1143" s="9" t="s">
        <v>584</v>
      </c>
      <c r="C1143" s="32">
        <v>303101011</v>
      </c>
      <c r="D1143" s="3" t="s">
        <v>2181</v>
      </c>
      <c r="E1143" s="36">
        <f>E12*3.46</f>
        <v>256.04000000000002</v>
      </c>
      <c r="F1143" s="36">
        <f t="shared" si="77"/>
        <v>243.23800000000003</v>
      </c>
      <c r="G1143" s="26">
        <f t="shared" si="78"/>
        <v>230.43600000000001</v>
      </c>
      <c r="H1143" s="26">
        <f t="shared" si="79"/>
        <v>217.63400000000001</v>
      </c>
    </row>
    <row r="1144" spans="1:8" x14ac:dyDescent="0.2">
      <c r="A1144" s="31">
        <f t="shared" si="76"/>
        <v>1130</v>
      </c>
      <c r="B1144" s="9" t="s">
        <v>2183</v>
      </c>
      <c r="C1144" s="32"/>
      <c r="D1144" s="3" t="s">
        <v>2182</v>
      </c>
      <c r="E1144" s="36">
        <f>E12*4.55</f>
        <v>336.7</v>
      </c>
      <c r="F1144" s="36">
        <f t="shared" si="77"/>
        <v>319.86500000000001</v>
      </c>
      <c r="G1144" s="26">
        <f t="shared" si="78"/>
        <v>303.02999999999997</v>
      </c>
      <c r="H1144" s="26">
        <f t="shared" si="79"/>
        <v>286.19499999999999</v>
      </c>
    </row>
    <row r="1145" spans="1:8" x14ac:dyDescent="0.2">
      <c r="A1145" s="31">
        <f t="shared" si="76"/>
        <v>1131</v>
      </c>
      <c r="B1145" s="9" t="s">
        <v>974</v>
      </c>
      <c r="C1145" s="32">
        <v>6138200164</v>
      </c>
      <c r="D1145" s="3" t="s">
        <v>2184</v>
      </c>
      <c r="E1145" s="36">
        <f>E12*50.96</f>
        <v>3771.04</v>
      </c>
      <c r="F1145" s="36">
        <f t="shared" si="77"/>
        <v>3582.4879999999998</v>
      </c>
      <c r="G1145" s="26">
        <f t="shared" si="78"/>
        <v>3393.9359999999997</v>
      </c>
      <c r="H1145" s="26">
        <f t="shared" si="79"/>
        <v>3205.384</v>
      </c>
    </row>
    <row r="1146" spans="1:8" x14ac:dyDescent="0.2">
      <c r="A1146" s="31">
        <f t="shared" si="76"/>
        <v>1132</v>
      </c>
      <c r="B1146" s="9" t="s">
        <v>99</v>
      </c>
      <c r="C1146" s="32"/>
      <c r="D1146" s="3" t="s">
        <v>2185</v>
      </c>
      <c r="E1146" s="36">
        <f>E12*10.41</f>
        <v>770.34</v>
      </c>
      <c r="F1146" s="36">
        <f t="shared" si="77"/>
        <v>731.82299999999998</v>
      </c>
      <c r="G1146" s="26">
        <f t="shared" si="78"/>
        <v>693.30600000000004</v>
      </c>
      <c r="H1146" s="26">
        <f t="shared" si="79"/>
        <v>654.78899999999999</v>
      </c>
    </row>
    <row r="1147" spans="1:8" ht="12" customHeight="1" x14ac:dyDescent="0.2">
      <c r="A1147" s="31">
        <f t="shared" si="76"/>
        <v>1133</v>
      </c>
      <c r="B1147" s="9" t="s">
        <v>1210</v>
      </c>
      <c r="C1147" s="32"/>
      <c r="D1147" s="3" t="s">
        <v>2186</v>
      </c>
      <c r="E1147" s="36">
        <f>E12*10.41</f>
        <v>770.34</v>
      </c>
      <c r="F1147" s="36">
        <f t="shared" si="77"/>
        <v>731.82299999999998</v>
      </c>
      <c r="G1147" s="26">
        <f t="shared" si="78"/>
        <v>693.30600000000004</v>
      </c>
      <c r="H1147" s="26">
        <f t="shared" si="79"/>
        <v>654.78899999999999</v>
      </c>
    </row>
    <row r="1148" spans="1:8" x14ac:dyDescent="0.2">
      <c r="A1148" s="31">
        <f t="shared" si="76"/>
        <v>1134</v>
      </c>
      <c r="B1148" s="9" t="s">
        <v>1209</v>
      </c>
      <c r="C1148" s="32"/>
      <c r="D1148" s="3" t="s">
        <v>2187</v>
      </c>
      <c r="E1148" s="36">
        <f>E12*10.41</f>
        <v>770.34</v>
      </c>
      <c r="F1148" s="36">
        <f t="shared" si="77"/>
        <v>731.82299999999998</v>
      </c>
      <c r="G1148" s="26">
        <f t="shared" si="78"/>
        <v>693.30600000000004</v>
      </c>
      <c r="H1148" s="26">
        <f t="shared" si="79"/>
        <v>654.78899999999999</v>
      </c>
    </row>
    <row r="1149" spans="1:8" x14ac:dyDescent="0.2">
      <c r="A1149" s="31">
        <f t="shared" si="76"/>
        <v>1135</v>
      </c>
      <c r="B1149" s="9" t="s">
        <v>830</v>
      </c>
      <c r="C1149" s="32"/>
      <c r="D1149" s="3" t="s">
        <v>828</v>
      </c>
      <c r="E1149" s="36">
        <f>E12*18.45</f>
        <v>1365.3</v>
      </c>
      <c r="F1149" s="36">
        <f t="shared" si="77"/>
        <v>1297.0349999999999</v>
      </c>
      <c r="G1149" s="26">
        <f t="shared" si="78"/>
        <v>1228.77</v>
      </c>
      <c r="H1149" s="26">
        <f t="shared" si="79"/>
        <v>1160.5049999999999</v>
      </c>
    </row>
    <row r="1150" spans="1:8" x14ac:dyDescent="0.2">
      <c r="A1150" s="31">
        <f t="shared" si="76"/>
        <v>1136</v>
      </c>
      <c r="B1150" s="9" t="s">
        <v>1213</v>
      </c>
      <c r="C1150" s="32"/>
      <c r="D1150" s="3" t="s">
        <v>1214</v>
      </c>
      <c r="E1150" s="36">
        <f>E12*18.45</f>
        <v>1365.3</v>
      </c>
      <c r="F1150" s="36">
        <f t="shared" si="77"/>
        <v>1297.0349999999999</v>
      </c>
      <c r="G1150" s="26">
        <f t="shared" si="78"/>
        <v>1228.77</v>
      </c>
      <c r="H1150" s="26">
        <f t="shared" si="79"/>
        <v>1160.5049999999999</v>
      </c>
    </row>
    <row r="1151" spans="1:8" x14ac:dyDescent="0.2">
      <c r="A1151" s="31">
        <f t="shared" si="76"/>
        <v>1137</v>
      </c>
      <c r="B1151" s="9" t="s">
        <v>831</v>
      </c>
      <c r="C1151" s="32"/>
      <c r="D1151" s="3" t="s">
        <v>829</v>
      </c>
      <c r="E1151" s="36">
        <f>E12*18.45</f>
        <v>1365.3</v>
      </c>
      <c r="F1151" s="36">
        <f t="shared" si="77"/>
        <v>1297.0349999999999</v>
      </c>
      <c r="G1151" s="26">
        <f t="shared" si="78"/>
        <v>1228.77</v>
      </c>
      <c r="H1151" s="26">
        <f t="shared" si="79"/>
        <v>1160.5049999999999</v>
      </c>
    </row>
    <row r="1152" spans="1:8" x14ac:dyDescent="0.2">
      <c r="A1152" s="31">
        <f t="shared" si="76"/>
        <v>1138</v>
      </c>
      <c r="B1152" s="9" t="s">
        <v>125</v>
      </c>
      <c r="C1152" s="32"/>
      <c r="D1152" s="3" t="s">
        <v>126</v>
      </c>
      <c r="E1152" s="36">
        <f>E12*9.93</f>
        <v>734.81999999999994</v>
      </c>
      <c r="F1152" s="36">
        <f t="shared" si="77"/>
        <v>698.07899999999995</v>
      </c>
      <c r="G1152" s="26">
        <f t="shared" si="78"/>
        <v>661.33799999999997</v>
      </c>
      <c r="H1152" s="26">
        <f t="shared" si="79"/>
        <v>624.59699999999998</v>
      </c>
    </row>
    <row r="1153" spans="1:8" x14ac:dyDescent="0.2">
      <c r="A1153" s="31">
        <f t="shared" si="76"/>
        <v>1139</v>
      </c>
      <c r="B1153" s="9" t="s">
        <v>127</v>
      </c>
      <c r="C1153" s="32"/>
      <c r="D1153" s="3" t="s">
        <v>128</v>
      </c>
      <c r="E1153" s="36">
        <f>E12*9.93</f>
        <v>734.81999999999994</v>
      </c>
      <c r="F1153" s="36">
        <f t="shared" si="77"/>
        <v>698.07899999999995</v>
      </c>
      <c r="G1153" s="26">
        <f t="shared" si="78"/>
        <v>661.33799999999997</v>
      </c>
      <c r="H1153" s="26">
        <f t="shared" si="79"/>
        <v>624.59699999999998</v>
      </c>
    </row>
    <row r="1154" spans="1:8" x14ac:dyDescent="0.2">
      <c r="A1154" s="31">
        <f t="shared" si="76"/>
        <v>1140</v>
      </c>
      <c r="B1154" s="9" t="s">
        <v>129</v>
      </c>
      <c r="C1154" s="32"/>
      <c r="D1154" s="3" t="s">
        <v>130</v>
      </c>
      <c r="E1154" s="36">
        <f>E12*9.93</f>
        <v>734.81999999999994</v>
      </c>
      <c r="F1154" s="36">
        <f t="shared" si="77"/>
        <v>698.07899999999995</v>
      </c>
      <c r="G1154" s="26">
        <f t="shared" si="78"/>
        <v>661.33799999999997</v>
      </c>
      <c r="H1154" s="26">
        <f t="shared" si="79"/>
        <v>624.59699999999998</v>
      </c>
    </row>
    <row r="1155" spans="1:8" x14ac:dyDescent="0.2">
      <c r="A1155" s="31">
        <f t="shared" si="76"/>
        <v>1141</v>
      </c>
      <c r="B1155" s="9" t="s">
        <v>1233</v>
      </c>
      <c r="C1155" s="32"/>
      <c r="D1155" s="3" t="s">
        <v>210</v>
      </c>
      <c r="E1155" s="36">
        <f>E12*1.08</f>
        <v>79.92</v>
      </c>
      <c r="F1155" s="36">
        <f t="shared" si="77"/>
        <v>75.924000000000007</v>
      </c>
      <c r="G1155" s="26">
        <f t="shared" si="78"/>
        <v>71.927999999999997</v>
      </c>
      <c r="H1155" s="26">
        <f t="shared" si="79"/>
        <v>67.932000000000002</v>
      </c>
    </row>
    <row r="1156" spans="1:8" x14ac:dyDescent="0.2">
      <c r="A1156" s="31">
        <f t="shared" si="76"/>
        <v>1142</v>
      </c>
      <c r="B1156" s="9" t="s">
        <v>1229</v>
      </c>
      <c r="C1156" s="32"/>
      <c r="D1156" s="3" t="s">
        <v>2188</v>
      </c>
      <c r="E1156" s="36">
        <f>E12*3.3</f>
        <v>244.2</v>
      </c>
      <c r="F1156" s="36">
        <f t="shared" si="77"/>
        <v>231.98999999999998</v>
      </c>
      <c r="G1156" s="26">
        <f t="shared" si="78"/>
        <v>219.77999999999997</v>
      </c>
      <c r="H1156" s="26">
        <f t="shared" si="79"/>
        <v>207.57</v>
      </c>
    </row>
    <row r="1157" spans="1:8" x14ac:dyDescent="0.2">
      <c r="A1157" s="31">
        <f t="shared" si="76"/>
        <v>1143</v>
      </c>
      <c r="B1157" s="9" t="s">
        <v>1231</v>
      </c>
      <c r="C1157" s="32"/>
      <c r="D1157" s="3" t="s">
        <v>2189</v>
      </c>
      <c r="E1157" s="36">
        <f>E12*3.46</f>
        <v>256.04000000000002</v>
      </c>
      <c r="F1157" s="36">
        <f t="shared" si="77"/>
        <v>243.23800000000003</v>
      </c>
      <c r="G1157" s="26">
        <f t="shared" si="78"/>
        <v>230.43600000000001</v>
      </c>
      <c r="H1157" s="26">
        <f t="shared" si="79"/>
        <v>217.63400000000001</v>
      </c>
    </row>
    <row r="1158" spans="1:8" x14ac:dyDescent="0.2">
      <c r="A1158" s="31">
        <f t="shared" si="76"/>
        <v>1144</v>
      </c>
      <c r="B1158" s="9" t="s">
        <v>1094</v>
      </c>
      <c r="C1158" s="32"/>
      <c r="D1158" s="3" t="s">
        <v>2190</v>
      </c>
      <c r="E1158" s="36">
        <f>E12*3.3</f>
        <v>244.2</v>
      </c>
      <c r="F1158" s="36">
        <f t="shared" si="77"/>
        <v>231.98999999999998</v>
      </c>
      <c r="G1158" s="26">
        <f t="shared" si="78"/>
        <v>219.77999999999997</v>
      </c>
      <c r="H1158" s="26">
        <f t="shared" si="79"/>
        <v>207.57</v>
      </c>
    </row>
    <row r="1159" spans="1:8" x14ac:dyDescent="0.2">
      <c r="A1159" s="31">
        <f t="shared" si="76"/>
        <v>1145</v>
      </c>
      <c r="B1159" s="9" t="s">
        <v>1074</v>
      </c>
      <c r="C1159" s="32"/>
      <c r="D1159" s="3" t="s">
        <v>2191</v>
      </c>
      <c r="E1159" s="36">
        <f>E12*3.46</f>
        <v>256.04000000000002</v>
      </c>
      <c r="F1159" s="36">
        <f t="shared" si="77"/>
        <v>243.23800000000003</v>
      </c>
      <c r="G1159" s="26">
        <f t="shared" si="78"/>
        <v>230.43600000000001</v>
      </c>
      <c r="H1159" s="26">
        <f t="shared" si="79"/>
        <v>217.63400000000001</v>
      </c>
    </row>
    <row r="1160" spans="1:8" x14ac:dyDescent="0.2">
      <c r="A1160" s="31">
        <f t="shared" si="76"/>
        <v>1146</v>
      </c>
      <c r="B1160" s="9" t="s">
        <v>1075</v>
      </c>
      <c r="C1160" s="32"/>
      <c r="D1160" s="3" t="s">
        <v>2192</v>
      </c>
      <c r="E1160" s="36">
        <f>E12*3.3</f>
        <v>244.2</v>
      </c>
      <c r="F1160" s="36">
        <f t="shared" si="77"/>
        <v>231.98999999999998</v>
      </c>
      <c r="G1160" s="26">
        <f t="shared" si="78"/>
        <v>219.77999999999997</v>
      </c>
      <c r="H1160" s="26">
        <f t="shared" si="79"/>
        <v>207.57</v>
      </c>
    </row>
    <row r="1161" spans="1:8" x14ac:dyDescent="0.2">
      <c r="A1161" s="31">
        <f t="shared" si="76"/>
        <v>1147</v>
      </c>
      <c r="B1161" s="9" t="s">
        <v>1230</v>
      </c>
      <c r="C1161" s="32"/>
      <c r="D1161" s="3" t="s">
        <v>2193</v>
      </c>
      <c r="E1161" s="36">
        <f>E12*3.46</f>
        <v>256.04000000000002</v>
      </c>
      <c r="F1161" s="36">
        <f t="shared" si="77"/>
        <v>243.23800000000003</v>
      </c>
      <c r="G1161" s="26">
        <f t="shared" si="78"/>
        <v>230.43600000000001</v>
      </c>
      <c r="H1161" s="26">
        <f t="shared" si="79"/>
        <v>217.63400000000001</v>
      </c>
    </row>
    <row r="1162" spans="1:8" x14ac:dyDescent="0.2">
      <c r="A1162" s="31">
        <f t="shared" si="76"/>
        <v>1148</v>
      </c>
      <c r="B1162" s="9" t="s">
        <v>1030</v>
      </c>
      <c r="C1162" s="32">
        <v>6138200761</v>
      </c>
      <c r="D1162" s="3" t="s">
        <v>2194</v>
      </c>
      <c r="E1162" s="36">
        <f>E12*12.44</f>
        <v>920.56</v>
      </c>
      <c r="F1162" s="36">
        <f t="shared" si="77"/>
        <v>874.53199999999993</v>
      </c>
      <c r="G1162" s="26">
        <f t="shared" si="78"/>
        <v>828.50399999999991</v>
      </c>
      <c r="H1162" s="26">
        <f t="shared" si="79"/>
        <v>782.476</v>
      </c>
    </row>
    <row r="1163" spans="1:8" x14ac:dyDescent="0.2">
      <c r="A1163" s="31">
        <f t="shared" si="76"/>
        <v>1149</v>
      </c>
      <c r="B1163" s="9" t="s">
        <v>364</v>
      </c>
      <c r="C1163" s="32"/>
      <c r="D1163" s="3" t="s">
        <v>365</v>
      </c>
      <c r="E1163" s="36">
        <f>E12*14.25</f>
        <v>1054.5</v>
      </c>
      <c r="F1163" s="36">
        <f t="shared" si="77"/>
        <v>1001.775</v>
      </c>
      <c r="G1163" s="26">
        <f t="shared" si="78"/>
        <v>949.05</v>
      </c>
      <c r="H1163" s="26">
        <f t="shared" si="79"/>
        <v>896.32500000000005</v>
      </c>
    </row>
    <row r="1164" spans="1:8" x14ac:dyDescent="0.2">
      <c r="A1164" s="31">
        <f t="shared" si="76"/>
        <v>1150</v>
      </c>
      <c r="B1164" s="9" t="s">
        <v>1187</v>
      </c>
      <c r="C1164" s="32"/>
      <c r="D1164" s="3" t="s">
        <v>218</v>
      </c>
      <c r="E1164" s="36">
        <f>E12*14.25</f>
        <v>1054.5</v>
      </c>
      <c r="F1164" s="36">
        <f t="shared" si="77"/>
        <v>1001.775</v>
      </c>
      <c r="G1164" s="26">
        <f t="shared" si="78"/>
        <v>949.05</v>
      </c>
      <c r="H1164" s="26">
        <f t="shared" si="79"/>
        <v>896.32500000000005</v>
      </c>
    </row>
    <row r="1165" spans="1:8" x14ac:dyDescent="0.2">
      <c r="A1165" s="31">
        <f t="shared" si="76"/>
        <v>1151</v>
      </c>
      <c r="B1165" s="9" t="s">
        <v>582</v>
      </c>
      <c r="C1165" s="32"/>
      <c r="D1165" s="3" t="s">
        <v>2195</v>
      </c>
      <c r="E1165" s="36">
        <f>E12*6.25</f>
        <v>462.5</v>
      </c>
      <c r="F1165" s="36">
        <f t="shared" si="77"/>
        <v>439.375</v>
      </c>
      <c r="G1165" s="26">
        <f t="shared" si="78"/>
        <v>416.25</v>
      </c>
      <c r="H1165" s="26">
        <f t="shared" si="79"/>
        <v>393.125</v>
      </c>
    </row>
    <row r="1166" spans="1:8" x14ac:dyDescent="0.2">
      <c r="A1166" s="31">
        <f t="shared" si="76"/>
        <v>1152</v>
      </c>
      <c r="B1166" s="9" t="s">
        <v>618</v>
      </c>
      <c r="C1166" s="32"/>
      <c r="D1166" s="3" t="s">
        <v>619</v>
      </c>
      <c r="E1166" s="36">
        <v>265</v>
      </c>
      <c r="F1166" s="36">
        <f t="shared" si="77"/>
        <v>251.75</v>
      </c>
      <c r="G1166" s="26">
        <f t="shared" si="78"/>
        <v>238.5</v>
      </c>
      <c r="H1166" s="26">
        <f t="shared" si="79"/>
        <v>225.25</v>
      </c>
    </row>
    <row r="1167" spans="1:8" x14ac:dyDescent="0.2">
      <c r="A1167" s="31">
        <f t="shared" si="76"/>
        <v>1153</v>
      </c>
      <c r="B1167" s="9" t="s">
        <v>506</v>
      </c>
      <c r="C1167" s="32"/>
      <c r="D1167" s="3" t="s">
        <v>2196</v>
      </c>
      <c r="E1167" s="36">
        <v>195</v>
      </c>
      <c r="F1167" s="36">
        <f t="shared" si="77"/>
        <v>185.25</v>
      </c>
      <c r="G1167" s="26">
        <f t="shared" si="78"/>
        <v>175.5</v>
      </c>
      <c r="H1167" s="26">
        <f t="shared" si="79"/>
        <v>165.75</v>
      </c>
    </row>
    <row r="1168" spans="1:8" x14ac:dyDescent="0.2">
      <c r="A1168" s="31">
        <f t="shared" si="76"/>
        <v>1154</v>
      </c>
      <c r="B1168" s="9" t="s">
        <v>507</v>
      </c>
      <c r="C1168" s="32"/>
      <c r="D1168" s="3" t="s">
        <v>508</v>
      </c>
      <c r="E1168" s="36">
        <v>295</v>
      </c>
      <c r="F1168" s="36">
        <f t="shared" si="77"/>
        <v>280.25</v>
      </c>
      <c r="G1168" s="26">
        <f t="shared" si="78"/>
        <v>265.5</v>
      </c>
      <c r="H1168" s="26">
        <f t="shared" si="79"/>
        <v>250.75</v>
      </c>
    </row>
    <row r="1169" spans="1:8" x14ac:dyDescent="0.2">
      <c r="A1169" s="31">
        <f t="shared" ref="A1169:A1174" si="80">A1168+1</f>
        <v>1155</v>
      </c>
      <c r="B1169" s="9" t="s">
        <v>509</v>
      </c>
      <c r="C1169" s="32"/>
      <c r="D1169" s="3" t="s">
        <v>2197</v>
      </c>
      <c r="E1169" s="36">
        <v>285</v>
      </c>
      <c r="F1169" s="36">
        <f t="shared" si="77"/>
        <v>270.75</v>
      </c>
      <c r="G1169" s="26">
        <f t="shared" si="78"/>
        <v>256.5</v>
      </c>
      <c r="H1169" s="26">
        <f t="shared" si="79"/>
        <v>242.25</v>
      </c>
    </row>
    <row r="1170" spans="1:8" x14ac:dyDescent="0.2">
      <c r="A1170" s="31">
        <f t="shared" si="80"/>
        <v>1156</v>
      </c>
      <c r="B1170" s="9" t="s">
        <v>510</v>
      </c>
      <c r="C1170" s="32"/>
      <c r="D1170" s="3" t="s">
        <v>2198</v>
      </c>
      <c r="E1170" s="36">
        <v>347</v>
      </c>
      <c r="F1170" s="36">
        <f t="shared" si="77"/>
        <v>329.65</v>
      </c>
      <c r="G1170" s="26">
        <f t="shared" si="78"/>
        <v>312.3</v>
      </c>
      <c r="H1170" s="26">
        <f t="shared" si="79"/>
        <v>294.95</v>
      </c>
    </row>
    <row r="1171" spans="1:8" x14ac:dyDescent="0.2">
      <c r="A1171" s="31">
        <f t="shared" si="80"/>
        <v>1157</v>
      </c>
      <c r="B1171" s="9" t="s">
        <v>550</v>
      </c>
      <c r="C1171" s="32"/>
      <c r="D1171" s="3" t="s">
        <v>549</v>
      </c>
      <c r="E1171" s="36">
        <f>E12*1.83</f>
        <v>135.42000000000002</v>
      </c>
      <c r="F1171" s="36">
        <f t="shared" si="77"/>
        <v>128.649</v>
      </c>
      <c r="G1171" s="26">
        <f t="shared" si="78"/>
        <v>121.87800000000001</v>
      </c>
      <c r="H1171" s="26">
        <f t="shared" si="79"/>
        <v>115.10700000000001</v>
      </c>
    </row>
    <row r="1172" spans="1:8" x14ac:dyDescent="0.2">
      <c r="A1172" s="31">
        <f t="shared" si="80"/>
        <v>1158</v>
      </c>
      <c r="B1172" s="9" t="s">
        <v>556</v>
      </c>
      <c r="C1172" s="32"/>
      <c r="D1172" s="3" t="s">
        <v>555</v>
      </c>
      <c r="E1172" s="36">
        <f>E12*1.83</f>
        <v>135.42000000000002</v>
      </c>
      <c r="F1172" s="36">
        <f t="shared" si="77"/>
        <v>128.649</v>
      </c>
      <c r="G1172" s="26">
        <f t="shared" si="78"/>
        <v>121.87800000000001</v>
      </c>
      <c r="H1172" s="26">
        <f t="shared" si="79"/>
        <v>115.10700000000001</v>
      </c>
    </row>
    <row r="1173" spans="1:8" x14ac:dyDescent="0.2">
      <c r="A1173" s="31">
        <f t="shared" si="80"/>
        <v>1159</v>
      </c>
      <c r="B1173" s="9" t="s">
        <v>567</v>
      </c>
      <c r="C1173" s="32"/>
      <c r="D1173" s="3" t="s">
        <v>568</v>
      </c>
      <c r="E1173" s="36">
        <f>E12*1.83</f>
        <v>135.42000000000002</v>
      </c>
      <c r="F1173" s="36">
        <f t="shared" si="77"/>
        <v>128.649</v>
      </c>
      <c r="G1173" s="26">
        <f t="shared" si="78"/>
        <v>121.87800000000001</v>
      </c>
      <c r="H1173" s="26">
        <f t="shared" si="79"/>
        <v>115.10700000000001</v>
      </c>
    </row>
    <row r="1174" spans="1:8" x14ac:dyDescent="0.2">
      <c r="A1174" s="31">
        <f t="shared" si="80"/>
        <v>1160</v>
      </c>
      <c r="B1174" s="9" t="s">
        <v>570</v>
      </c>
      <c r="C1174" s="32"/>
      <c r="D1174" s="3" t="s">
        <v>569</v>
      </c>
      <c r="E1174" s="36">
        <f>E12*1.83</f>
        <v>135.42000000000002</v>
      </c>
      <c r="F1174" s="36">
        <f t="shared" si="77"/>
        <v>128.649</v>
      </c>
      <c r="G1174" s="26">
        <f t="shared" si="78"/>
        <v>121.87800000000001</v>
      </c>
      <c r="H1174" s="26">
        <f t="shared" si="79"/>
        <v>115.10700000000001</v>
      </c>
    </row>
    <row r="1175" spans="1:8" x14ac:dyDescent="0.2">
      <c r="A1175" s="3"/>
      <c r="B1175" s="9"/>
      <c r="C1175" s="32"/>
      <c r="D1175" s="3"/>
      <c r="E1175" s="12"/>
      <c r="F1175" s="36"/>
      <c r="G1175" s="37"/>
      <c r="H1175" s="36"/>
    </row>
    <row r="1176" spans="1:8" x14ac:dyDescent="0.2">
      <c r="A1176" s="13"/>
      <c r="B1176" s="13"/>
      <c r="C1176" s="13"/>
      <c r="D1176" s="14" t="s">
        <v>56</v>
      </c>
      <c r="E1176" s="15"/>
      <c r="F1176" s="16"/>
      <c r="G1176" s="34"/>
      <c r="H1176" s="31"/>
    </row>
    <row r="1177" spans="1:8" x14ac:dyDescent="0.2">
      <c r="A1177" s="3"/>
      <c r="B1177" s="3"/>
      <c r="C1177" s="31"/>
      <c r="D1177" s="5"/>
      <c r="E1177" s="12"/>
      <c r="F1177" s="6"/>
      <c r="G1177" s="31"/>
    </row>
    <row r="1181" spans="1:8" ht="19.5" x14ac:dyDescent="0.35">
      <c r="D1181" s="7" t="s">
        <v>11</v>
      </c>
    </row>
  </sheetData>
  <phoneticPr fontId="2" type="noConversion"/>
  <pageMargins left="0" right="0" top="0.98425196850393704" bottom="0.98425196850393704" header="0.51181102362204722" footer="0.51181102362204722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selection activeCell="E9" sqref="E9"/>
    </sheetView>
  </sheetViews>
  <sheetFormatPr defaultRowHeight="12.75" x14ac:dyDescent="0.2"/>
  <cols>
    <col min="1" max="1" width="9.140625" style="29"/>
    <col min="2" max="2" width="15.42578125" customWidth="1"/>
    <col min="3" max="3" width="95.140625" customWidth="1"/>
    <col min="4" max="4" width="17" customWidth="1"/>
    <col min="5" max="5" width="18.42578125" customWidth="1"/>
    <col min="6" max="6" width="18.28515625" customWidth="1"/>
    <col min="7" max="7" width="17.42578125" customWidth="1"/>
  </cols>
  <sheetData>
    <row r="1" spans="1:7" s="29" customFormat="1" x14ac:dyDescent="0.2"/>
    <row r="2" spans="1:7" s="29" customFormat="1" x14ac:dyDescent="0.2"/>
    <row r="3" spans="1:7" s="29" customFormat="1" x14ac:dyDescent="0.2">
      <c r="C3" s="4" t="s">
        <v>2462</v>
      </c>
    </row>
    <row r="4" spans="1:7" s="29" customFormat="1" x14ac:dyDescent="0.2">
      <c r="C4" s="4" t="s">
        <v>0</v>
      </c>
    </row>
    <row r="5" spans="1:7" s="29" customFormat="1" x14ac:dyDescent="0.2">
      <c r="C5" s="4" t="s">
        <v>1</v>
      </c>
    </row>
    <row r="6" spans="1:7" s="29" customFormat="1" x14ac:dyDescent="0.2">
      <c r="C6" s="10" t="s">
        <v>24</v>
      </c>
    </row>
    <row r="7" spans="1:7" s="29" customFormat="1" x14ac:dyDescent="0.2">
      <c r="C7" s="4" t="s">
        <v>13</v>
      </c>
    </row>
    <row r="8" spans="1:7" s="29" customFormat="1" x14ac:dyDescent="0.2">
      <c r="C8" s="4" t="s">
        <v>2</v>
      </c>
    </row>
    <row r="9" spans="1:7" s="29" customFormat="1" x14ac:dyDescent="0.2">
      <c r="E9" s="53">
        <v>74</v>
      </c>
    </row>
    <row r="11" spans="1:7" x14ac:dyDescent="0.2">
      <c r="A11" s="31"/>
      <c r="B11" s="24" t="s">
        <v>2473</v>
      </c>
      <c r="C11" s="24" t="s">
        <v>3</v>
      </c>
      <c r="D11" s="44" t="s">
        <v>2464</v>
      </c>
      <c r="E11" s="44" t="s">
        <v>2465</v>
      </c>
      <c r="F11" s="44" t="s">
        <v>2466</v>
      </c>
      <c r="G11" s="44" t="s">
        <v>2467</v>
      </c>
    </row>
    <row r="12" spans="1:7" s="29" customFormat="1" x14ac:dyDescent="0.2">
      <c r="A12" s="31">
        <v>1</v>
      </c>
      <c r="B12" s="21">
        <v>67114335</v>
      </c>
      <c r="C12" s="31" t="s">
        <v>2463</v>
      </c>
      <c r="D12" s="43">
        <f>E9*54.52</f>
        <v>4034.48</v>
      </c>
      <c r="E12" s="43">
        <f>D12-D12*5%</f>
        <v>3832.7559999999999</v>
      </c>
      <c r="F12" s="43">
        <f>D12-D12*10%</f>
        <v>3631.0320000000002</v>
      </c>
      <c r="G12" s="43">
        <f>D12-D12*15%</f>
        <v>3429.308</v>
      </c>
    </row>
    <row r="13" spans="1:7" s="29" customFormat="1" x14ac:dyDescent="0.2">
      <c r="A13" s="31">
        <f>A12+1</f>
        <v>2</v>
      </c>
      <c r="B13" s="21">
        <v>67114091</v>
      </c>
      <c r="C13" s="31" t="s">
        <v>2468</v>
      </c>
      <c r="D13" s="43">
        <f>E9*72.36</f>
        <v>5354.64</v>
      </c>
      <c r="E13" s="43">
        <f t="shared" ref="E13:E77" si="0">D13-D13*5%</f>
        <v>5086.9080000000004</v>
      </c>
      <c r="F13" s="43">
        <f t="shared" ref="F13:F77" si="1">D13-D13*10%</f>
        <v>4819.1760000000004</v>
      </c>
      <c r="G13" s="43">
        <f t="shared" ref="G13:G77" si="2">D13-D13*15%</f>
        <v>4551.4440000000004</v>
      </c>
    </row>
    <row r="14" spans="1:7" s="29" customFormat="1" x14ac:dyDescent="0.2">
      <c r="A14" s="31">
        <f t="shared" ref="A14:A77" si="3">A13+1</f>
        <v>3</v>
      </c>
      <c r="B14" s="21">
        <v>67114365</v>
      </c>
      <c r="C14" s="31" t="s">
        <v>2469</v>
      </c>
      <c r="D14" s="43">
        <f>E9*59</f>
        <v>4366</v>
      </c>
      <c r="E14" s="43">
        <f t="shared" si="0"/>
        <v>4147.7</v>
      </c>
      <c r="F14" s="43">
        <f t="shared" si="1"/>
        <v>3929.4</v>
      </c>
      <c r="G14" s="43">
        <f t="shared" si="2"/>
        <v>3711.1</v>
      </c>
    </row>
    <row r="15" spans="1:7" s="29" customFormat="1" x14ac:dyDescent="0.2">
      <c r="A15" s="31">
        <f t="shared" si="3"/>
        <v>4</v>
      </c>
      <c r="B15" s="21">
        <v>67114433</v>
      </c>
      <c r="C15" s="31" t="s">
        <v>2470</v>
      </c>
      <c r="D15" s="43">
        <f>E9*53</f>
        <v>3922</v>
      </c>
      <c r="E15" s="43">
        <f t="shared" si="0"/>
        <v>3725.9</v>
      </c>
      <c r="F15" s="43">
        <f t="shared" si="1"/>
        <v>3529.8</v>
      </c>
      <c r="G15" s="43">
        <f t="shared" si="2"/>
        <v>3333.7</v>
      </c>
    </row>
    <row r="16" spans="1:7" s="29" customFormat="1" x14ac:dyDescent="0.2">
      <c r="A16" s="31">
        <f t="shared" si="3"/>
        <v>5</v>
      </c>
      <c r="B16" s="21">
        <v>95100039</v>
      </c>
      <c r="C16" s="31" t="s">
        <v>2471</v>
      </c>
      <c r="D16" s="43">
        <f>E9*18.98</f>
        <v>1404.52</v>
      </c>
      <c r="E16" s="43">
        <f t="shared" si="0"/>
        <v>1334.2939999999999</v>
      </c>
      <c r="F16" s="43">
        <f t="shared" si="1"/>
        <v>1264.068</v>
      </c>
      <c r="G16" s="43">
        <f t="shared" si="2"/>
        <v>1193.8420000000001</v>
      </c>
    </row>
    <row r="17" spans="1:7" s="29" customFormat="1" x14ac:dyDescent="0.2">
      <c r="A17" s="31">
        <f t="shared" si="3"/>
        <v>6</v>
      </c>
      <c r="B17" s="21">
        <v>95100041</v>
      </c>
      <c r="C17" s="31" t="s">
        <v>2472</v>
      </c>
      <c r="D17" s="43">
        <f>E9*7.3</f>
        <v>540.19999999999993</v>
      </c>
      <c r="E17" s="43">
        <f t="shared" si="0"/>
        <v>513.18999999999994</v>
      </c>
      <c r="F17" s="43">
        <f t="shared" si="1"/>
        <v>486.17999999999995</v>
      </c>
      <c r="G17" s="43">
        <f t="shared" si="2"/>
        <v>459.16999999999996</v>
      </c>
    </row>
    <row r="18" spans="1:7" s="29" customFormat="1" x14ac:dyDescent="0.2">
      <c r="A18" s="31">
        <f t="shared" si="3"/>
        <v>7</v>
      </c>
      <c r="B18" s="21">
        <v>72235002</v>
      </c>
      <c r="C18" s="31" t="s">
        <v>2474</v>
      </c>
      <c r="D18" s="43">
        <f>E9*41.6</f>
        <v>3078.4</v>
      </c>
      <c r="E18" s="43">
        <f t="shared" si="0"/>
        <v>2924.48</v>
      </c>
      <c r="F18" s="43">
        <f t="shared" si="1"/>
        <v>2770.56</v>
      </c>
      <c r="G18" s="43">
        <f t="shared" si="2"/>
        <v>2616.6400000000003</v>
      </c>
    </row>
    <row r="19" spans="1:7" s="29" customFormat="1" x14ac:dyDescent="0.2">
      <c r="A19" s="31">
        <f t="shared" si="3"/>
        <v>8</v>
      </c>
      <c r="B19" s="21">
        <v>72235006</v>
      </c>
      <c r="C19" s="31" t="s">
        <v>2475</v>
      </c>
      <c r="D19" s="43">
        <f>E9*46.4</f>
        <v>3433.6</v>
      </c>
      <c r="E19" s="43">
        <f t="shared" si="0"/>
        <v>3261.92</v>
      </c>
      <c r="F19" s="43">
        <f t="shared" si="1"/>
        <v>3090.24</v>
      </c>
      <c r="G19" s="43">
        <f t="shared" si="2"/>
        <v>2918.56</v>
      </c>
    </row>
    <row r="20" spans="1:7" s="29" customFormat="1" x14ac:dyDescent="0.2">
      <c r="A20" s="31">
        <f t="shared" si="3"/>
        <v>9</v>
      </c>
      <c r="B20" s="21">
        <v>72235001</v>
      </c>
      <c r="C20" s="31" t="s">
        <v>2476</v>
      </c>
      <c r="D20" s="43">
        <f>E9*41.6</f>
        <v>3078.4</v>
      </c>
      <c r="E20" s="43">
        <f t="shared" si="0"/>
        <v>2924.48</v>
      </c>
      <c r="F20" s="43">
        <f t="shared" si="1"/>
        <v>2770.56</v>
      </c>
      <c r="G20" s="43">
        <f t="shared" si="2"/>
        <v>2616.6400000000003</v>
      </c>
    </row>
    <row r="21" spans="1:7" s="29" customFormat="1" x14ac:dyDescent="0.2">
      <c r="A21" s="31">
        <f t="shared" si="3"/>
        <v>10</v>
      </c>
      <c r="B21" s="21">
        <v>72235018</v>
      </c>
      <c r="C21" s="31" t="s">
        <v>2477</v>
      </c>
      <c r="D21" s="43">
        <f>E9*50.9</f>
        <v>3766.6</v>
      </c>
      <c r="E21" s="43">
        <f t="shared" si="0"/>
        <v>3578.27</v>
      </c>
      <c r="F21" s="43">
        <f t="shared" si="1"/>
        <v>3389.94</v>
      </c>
      <c r="G21" s="43">
        <f t="shared" si="2"/>
        <v>3201.6099999999997</v>
      </c>
    </row>
    <row r="22" spans="1:7" s="29" customFormat="1" x14ac:dyDescent="0.2">
      <c r="A22" s="31">
        <f t="shared" si="3"/>
        <v>11</v>
      </c>
      <c r="B22" s="21">
        <v>71233302</v>
      </c>
      <c r="C22" s="31" t="s">
        <v>2478</v>
      </c>
      <c r="D22" s="43">
        <f>E9*40.96</f>
        <v>3031.04</v>
      </c>
      <c r="E22" s="43">
        <f t="shared" si="0"/>
        <v>2879.4879999999998</v>
      </c>
      <c r="F22" s="43">
        <f t="shared" si="1"/>
        <v>2727.9360000000001</v>
      </c>
      <c r="G22" s="43">
        <f t="shared" si="2"/>
        <v>2576.384</v>
      </c>
    </row>
    <row r="23" spans="1:7" s="29" customFormat="1" x14ac:dyDescent="0.2">
      <c r="A23" s="31">
        <f t="shared" si="3"/>
        <v>12</v>
      </c>
      <c r="B23" s="21">
        <v>71234003</v>
      </c>
      <c r="C23" s="31" t="s">
        <v>2479</v>
      </c>
      <c r="D23" s="43">
        <f>E9*47.3</f>
        <v>3500.2</v>
      </c>
      <c r="E23" s="43">
        <f t="shared" si="0"/>
        <v>3325.1899999999996</v>
      </c>
      <c r="F23" s="43">
        <f t="shared" si="1"/>
        <v>3150.18</v>
      </c>
      <c r="G23" s="43">
        <f t="shared" si="2"/>
        <v>2975.17</v>
      </c>
    </row>
    <row r="24" spans="1:7" s="29" customFormat="1" x14ac:dyDescent="0.2">
      <c r="A24" s="31">
        <f t="shared" si="3"/>
        <v>13</v>
      </c>
      <c r="B24" s="21">
        <v>71231004</v>
      </c>
      <c r="C24" s="31" t="s">
        <v>2480</v>
      </c>
      <c r="D24" s="43">
        <f>E9*49.5</f>
        <v>3663</v>
      </c>
      <c r="E24" s="43">
        <f t="shared" si="0"/>
        <v>3479.85</v>
      </c>
      <c r="F24" s="43">
        <f t="shared" si="1"/>
        <v>3296.7</v>
      </c>
      <c r="G24" s="43">
        <f t="shared" si="2"/>
        <v>3113.55</v>
      </c>
    </row>
    <row r="25" spans="1:7" s="29" customFormat="1" x14ac:dyDescent="0.2">
      <c r="A25" s="31">
        <f t="shared" si="3"/>
        <v>14</v>
      </c>
      <c r="B25" s="21">
        <v>71230005</v>
      </c>
      <c r="C25" s="31" t="s">
        <v>2481</v>
      </c>
      <c r="D25" s="43">
        <f>E9*43.36</f>
        <v>3208.64</v>
      </c>
      <c r="E25" s="43">
        <f t="shared" si="0"/>
        <v>3048.2079999999996</v>
      </c>
      <c r="F25" s="43">
        <f t="shared" si="1"/>
        <v>2887.7759999999998</v>
      </c>
      <c r="G25" s="43">
        <f t="shared" si="2"/>
        <v>2727.3440000000001</v>
      </c>
    </row>
    <row r="26" spans="1:7" s="29" customFormat="1" x14ac:dyDescent="0.2">
      <c r="A26" s="31">
        <f t="shared" si="3"/>
        <v>15</v>
      </c>
      <c r="B26" s="21">
        <v>81010100</v>
      </c>
      <c r="C26" s="31" t="s">
        <v>2525</v>
      </c>
      <c r="D26" s="43">
        <f>E9*35.65</f>
        <v>2638.1</v>
      </c>
      <c r="E26" s="43">
        <f t="shared" si="0"/>
        <v>2506.1949999999997</v>
      </c>
      <c r="F26" s="43"/>
      <c r="G26" s="43"/>
    </row>
    <row r="27" spans="1:7" s="29" customFormat="1" x14ac:dyDescent="0.2">
      <c r="A27" s="31">
        <f t="shared" si="3"/>
        <v>16</v>
      </c>
      <c r="B27" s="21">
        <v>72240006</v>
      </c>
      <c r="C27" s="31" t="s">
        <v>2482</v>
      </c>
      <c r="D27" s="43">
        <f>E9*45.06</f>
        <v>3334.44</v>
      </c>
      <c r="E27" s="43">
        <f t="shared" si="0"/>
        <v>3167.7179999999998</v>
      </c>
      <c r="F27" s="43">
        <f t="shared" si="1"/>
        <v>3000.9960000000001</v>
      </c>
      <c r="G27" s="43">
        <f t="shared" si="2"/>
        <v>2834.2739999999999</v>
      </c>
    </row>
    <row r="28" spans="1:7" s="29" customFormat="1" x14ac:dyDescent="0.2">
      <c r="A28" s="31">
        <f t="shared" si="3"/>
        <v>17</v>
      </c>
      <c r="B28" s="21">
        <v>72240001</v>
      </c>
      <c r="C28" s="31" t="s">
        <v>2483</v>
      </c>
      <c r="D28" s="43">
        <f>E9*40.25</f>
        <v>2978.5</v>
      </c>
      <c r="E28" s="43">
        <f t="shared" si="0"/>
        <v>2829.5749999999998</v>
      </c>
      <c r="F28" s="43">
        <f t="shared" si="1"/>
        <v>2680.65</v>
      </c>
      <c r="G28" s="43">
        <f t="shared" si="2"/>
        <v>2531.7249999999999</v>
      </c>
    </row>
    <row r="29" spans="1:7" s="29" customFormat="1" x14ac:dyDescent="0.2">
      <c r="A29" s="31">
        <f t="shared" si="3"/>
        <v>18</v>
      </c>
      <c r="B29" s="21">
        <v>72240002</v>
      </c>
      <c r="C29" s="31" t="s">
        <v>2484</v>
      </c>
      <c r="D29" s="43">
        <f>E9*40.25</f>
        <v>2978.5</v>
      </c>
      <c r="E29" s="43">
        <f t="shared" si="0"/>
        <v>2829.5749999999998</v>
      </c>
      <c r="F29" s="43">
        <f t="shared" si="1"/>
        <v>2680.65</v>
      </c>
      <c r="G29" s="43">
        <f t="shared" si="2"/>
        <v>2531.7249999999999</v>
      </c>
    </row>
    <row r="30" spans="1:7" s="29" customFormat="1" x14ac:dyDescent="0.2">
      <c r="A30" s="31">
        <f t="shared" si="3"/>
        <v>19</v>
      </c>
      <c r="B30" s="21">
        <v>72240011</v>
      </c>
      <c r="C30" s="31" t="s">
        <v>2485</v>
      </c>
      <c r="D30" s="43">
        <f>E9*38.99</f>
        <v>2885.26</v>
      </c>
      <c r="E30" s="43">
        <f t="shared" si="0"/>
        <v>2740.9970000000003</v>
      </c>
      <c r="F30" s="43">
        <f t="shared" si="1"/>
        <v>2596.7340000000004</v>
      </c>
      <c r="G30" s="43">
        <f t="shared" si="2"/>
        <v>2452.471</v>
      </c>
    </row>
    <row r="31" spans="1:7" s="29" customFormat="1" x14ac:dyDescent="0.2">
      <c r="A31" s="31">
        <f t="shared" si="3"/>
        <v>20</v>
      </c>
      <c r="B31" s="21">
        <v>72240012</v>
      </c>
      <c r="C31" s="31" t="s">
        <v>2486</v>
      </c>
      <c r="D31" s="43">
        <f>E9*38.99</f>
        <v>2885.26</v>
      </c>
      <c r="E31" s="43">
        <f t="shared" si="0"/>
        <v>2740.9970000000003</v>
      </c>
      <c r="F31" s="43">
        <f t="shared" si="1"/>
        <v>2596.7340000000004</v>
      </c>
      <c r="G31" s="43">
        <f t="shared" si="2"/>
        <v>2452.471</v>
      </c>
    </row>
    <row r="32" spans="1:7" s="29" customFormat="1" x14ac:dyDescent="0.2">
      <c r="A32" s="31">
        <f t="shared" si="3"/>
        <v>21</v>
      </c>
      <c r="B32" s="21">
        <v>72240016</v>
      </c>
      <c r="C32" s="31" t="s">
        <v>2487</v>
      </c>
      <c r="D32" s="43">
        <f>E9*47.03</f>
        <v>3480.2200000000003</v>
      </c>
      <c r="E32" s="43">
        <f t="shared" si="0"/>
        <v>3306.2090000000003</v>
      </c>
      <c r="F32" s="43">
        <f t="shared" si="1"/>
        <v>3132.1980000000003</v>
      </c>
      <c r="G32" s="43">
        <f t="shared" si="2"/>
        <v>2958.1870000000004</v>
      </c>
    </row>
    <row r="33" spans="1:7" s="29" customFormat="1" x14ac:dyDescent="0.2">
      <c r="A33" s="31">
        <f t="shared" si="3"/>
        <v>22</v>
      </c>
      <c r="B33" s="21">
        <v>72240017</v>
      </c>
      <c r="C33" s="31" t="s">
        <v>2487</v>
      </c>
      <c r="D33" s="43">
        <f>E9*47.03</f>
        <v>3480.2200000000003</v>
      </c>
      <c r="E33" s="43">
        <f t="shared" si="0"/>
        <v>3306.2090000000003</v>
      </c>
      <c r="F33" s="43">
        <f t="shared" si="1"/>
        <v>3132.1980000000003</v>
      </c>
      <c r="G33" s="43">
        <f t="shared" si="2"/>
        <v>2958.1870000000004</v>
      </c>
    </row>
    <row r="34" spans="1:7" s="29" customFormat="1" x14ac:dyDescent="0.2">
      <c r="A34" s="31">
        <f t="shared" si="3"/>
        <v>23</v>
      </c>
      <c r="B34" s="21">
        <v>70241501</v>
      </c>
      <c r="C34" s="31" t="s">
        <v>2488</v>
      </c>
      <c r="D34" s="43">
        <f>E9*38.2</f>
        <v>2826.8</v>
      </c>
      <c r="E34" s="43">
        <f t="shared" si="0"/>
        <v>2685.46</v>
      </c>
      <c r="F34" s="43">
        <f t="shared" si="1"/>
        <v>2544.1200000000003</v>
      </c>
      <c r="G34" s="43">
        <f t="shared" si="2"/>
        <v>2402.7800000000002</v>
      </c>
    </row>
    <row r="35" spans="1:7" s="29" customFormat="1" x14ac:dyDescent="0.2">
      <c r="A35" s="31">
        <f t="shared" si="3"/>
        <v>24</v>
      </c>
      <c r="B35" s="21">
        <v>70241524</v>
      </c>
      <c r="C35" s="31" t="s">
        <v>2489</v>
      </c>
      <c r="D35" s="43">
        <f>E9*33</f>
        <v>2442</v>
      </c>
      <c r="E35" s="43">
        <f t="shared" si="0"/>
        <v>2319.9</v>
      </c>
      <c r="F35" s="43">
        <f t="shared" si="1"/>
        <v>2197.8000000000002</v>
      </c>
      <c r="G35" s="43">
        <f t="shared" si="2"/>
        <v>2075.6999999999998</v>
      </c>
    </row>
    <row r="36" spans="1:7" s="29" customFormat="1" x14ac:dyDescent="0.2">
      <c r="A36" s="31">
        <f t="shared" si="3"/>
        <v>25</v>
      </c>
      <c r="B36" s="21">
        <v>70241522</v>
      </c>
      <c r="C36" s="31" t="s">
        <v>2490</v>
      </c>
      <c r="D36" s="43">
        <f>E9*33</f>
        <v>2442</v>
      </c>
      <c r="E36" s="43">
        <f t="shared" si="0"/>
        <v>2319.9</v>
      </c>
      <c r="F36" s="43">
        <f t="shared" si="1"/>
        <v>2197.8000000000002</v>
      </c>
      <c r="G36" s="43">
        <f t="shared" si="2"/>
        <v>2075.6999999999998</v>
      </c>
    </row>
    <row r="37" spans="1:7" s="29" customFormat="1" x14ac:dyDescent="0.2">
      <c r="A37" s="31">
        <f t="shared" si="3"/>
        <v>26</v>
      </c>
      <c r="B37" s="21">
        <v>67113105</v>
      </c>
      <c r="C37" s="31" t="s">
        <v>2515</v>
      </c>
      <c r="D37" s="43">
        <f>E9*33</f>
        <v>2442</v>
      </c>
      <c r="E37" s="43">
        <f t="shared" si="0"/>
        <v>2319.9</v>
      </c>
      <c r="F37" s="43">
        <f t="shared" si="1"/>
        <v>2197.8000000000002</v>
      </c>
      <c r="G37" s="43">
        <f t="shared" si="2"/>
        <v>2075.6999999999998</v>
      </c>
    </row>
    <row r="38" spans="1:7" s="29" customFormat="1" x14ac:dyDescent="0.2">
      <c r="A38" s="31">
        <f t="shared" si="3"/>
        <v>27</v>
      </c>
      <c r="B38" s="21">
        <v>67199973</v>
      </c>
      <c r="C38" s="31" t="s">
        <v>2521</v>
      </c>
      <c r="D38" s="43">
        <f>E9*35.16</f>
        <v>2601.8399999999997</v>
      </c>
      <c r="E38" s="43">
        <f t="shared" si="0"/>
        <v>2471.7479999999996</v>
      </c>
      <c r="F38" s="43">
        <f t="shared" si="1"/>
        <v>2341.6559999999999</v>
      </c>
      <c r="G38" s="43">
        <f t="shared" si="2"/>
        <v>2211.5639999999999</v>
      </c>
    </row>
    <row r="39" spans="1:7" s="29" customFormat="1" x14ac:dyDescent="0.2">
      <c r="A39" s="31">
        <f t="shared" si="3"/>
        <v>28</v>
      </c>
      <c r="B39" s="21">
        <v>74316001</v>
      </c>
      <c r="C39" s="31" t="s">
        <v>2491</v>
      </c>
      <c r="D39" s="43">
        <f>E9*33.46</f>
        <v>2476.04</v>
      </c>
      <c r="E39" s="43">
        <f t="shared" si="0"/>
        <v>2352.2379999999998</v>
      </c>
      <c r="F39" s="43">
        <f t="shared" si="1"/>
        <v>2228.4360000000001</v>
      </c>
      <c r="G39" s="43">
        <f t="shared" si="2"/>
        <v>2104.634</v>
      </c>
    </row>
    <row r="40" spans="1:7" s="29" customFormat="1" x14ac:dyDescent="0.2">
      <c r="A40" s="31">
        <f t="shared" si="3"/>
        <v>29</v>
      </c>
      <c r="B40" s="21">
        <v>74316002</v>
      </c>
      <c r="C40" s="31" t="s">
        <v>2492</v>
      </c>
      <c r="D40" s="43">
        <f>E9*33.68</f>
        <v>2492.3200000000002</v>
      </c>
      <c r="E40" s="43">
        <f t="shared" si="0"/>
        <v>2367.7040000000002</v>
      </c>
      <c r="F40" s="43">
        <f t="shared" si="1"/>
        <v>2243.0880000000002</v>
      </c>
      <c r="G40" s="43">
        <f t="shared" si="2"/>
        <v>2118.4720000000002</v>
      </c>
    </row>
    <row r="41" spans="1:7" s="29" customFormat="1" x14ac:dyDescent="0.2">
      <c r="A41" s="31">
        <f t="shared" si="3"/>
        <v>30</v>
      </c>
      <c r="B41" s="46">
        <v>74316003</v>
      </c>
      <c r="C41" s="31" t="s">
        <v>2493</v>
      </c>
      <c r="D41" s="43">
        <f>E9*36.38</f>
        <v>2692.1200000000003</v>
      </c>
      <c r="E41" s="43">
        <f t="shared" si="0"/>
        <v>2557.5140000000001</v>
      </c>
      <c r="F41" s="43">
        <f t="shared" si="1"/>
        <v>2422.9080000000004</v>
      </c>
      <c r="G41" s="43">
        <f t="shared" si="2"/>
        <v>2288.3020000000001</v>
      </c>
    </row>
    <row r="42" spans="1:7" s="29" customFormat="1" x14ac:dyDescent="0.2">
      <c r="A42" s="31">
        <f t="shared" si="3"/>
        <v>31</v>
      </c>
      <c r="B42" s="46">
        <v>74315002</v>
      </c>
      <c r="C42" s="31" t="s">
        <v>2494</v>
      </c>
      <c r="D42" s="43">
        <f>E9*31.05</f>
        <v>2297.7000000000003</v>
      </c>
      <c r="E42" s="43">
        <f t="shared" si="0"/>
        <v>2182.8150000000001</v>
      </c>
      <c r="F42" s="43">
        <f t="shared" si="1"/>
        <v>2067.9300000000003</v>
      </c>
      <c r="G42" s="43">
        <f t="shared" si="2"/>
        <v>1953.0450000000003</v>
      </c>
    </row>
    <row r="43" spans="1:7" s="29" customFormat="1" x14ac:dyDescent="0.2">
      <c r="A43" s="31">
        <f t="shared" si="3"/>
        <v>32</v>
      </c>
      <c r="B43" s="46">
        <v>74315003</v>
      </c>
      <c r="C43" s="31" t="s">
        <v>2495</v>
      </c>
      <c r="D43" s="43">
        <f>E9*41.52</f>
        <v>3072.48</v>
      </c>
      <c r="E43" s="43">
        <f t="shared" si="0"/>
        <v>2918.8559999999998</v>
      </c>
      <c r="F43" s="43">
        <f t="shared" si="1"/>
        <v>2765.232</v>
      </c>
      <c r="G43" s="43">
        <f t="shared" si="2"/>
        <v>2611.6080000000002</v>
      </c>
    </row>
    <row r="44" spans="1:7" s="29" customFormat="1" x14ac:dyDescent="0.2">
      <c r="A44" s="31">
        <f t="shared" si="3"/>
        <v>33</v>
      </c>
      <c r="B44" s="46">
        <v>74315015</v>
      </c>
      <c r="C44" s="31" t="s">
        <v>2496</v>
      </c>
      <c r="D44" s="43">
        <f>E9*35</f>
        <v>2590</v>
      </c>
      <c r="E44" s="43">
        <f t="shared" si="0"/>
        <v>2460.5</v>
      </c>
      <c r="F44" s="43">
        <f t="shared" si="1"/>
        <v>2331</v>
      </c>
      <c r="G44" s="43">
        <f t="shared" si="2"/>
        <v>2201.5</v>
      </c>
    </row>
    <row r="45" spans="1:7" s="29" customFormat="1" x14ac:dyDescent="0.2">
      <c r="A45" s="31">
        <f t="shared" si="3"/>
        <v>34</v>
      </c>
      <c r="B45" s="46">
        <v>74315011</v>
      </c>
      <c r="C45" s="31" t="s">
        <v>2497</v>
      </c>
      <c r="D45" s="43">
        <f>E9*33</f>
        <v>2442</v>
      </c>
      <c r="E45" s="43">
        <f t="shared" si="0"/>
        <v>2319.9</v>
      </c>
      <c r="F45" s="43">
        <f t="shared" si="1"/>
        <v>2197.8000000000002</v>
      </c>
      <c r="G45" s="43">
        <f t="shared" si="2"/>
        <v>2075.6999999999998</v>
      </c>
    </row>
    <row r="46" spans="1:7" s="29" customFormat="1" x14ac:dyDescent="0.2">
      <c r="A46" s="31">
        <f t="shared" si="3"/>
        <v>35</v>
      </c>
      <c r="B46" s="46">
        <v>74315049</v>
      </c>
      <c r="C46" s="31" t="s">
        <v>2498</v>
      </c>
      <c r="D46" s="43">
        <f>E9*36.38</f>
        <v>2692.1200000000003</v>
      </c>
      <c r="E46" s="43">
        <f t="shared" si="0"/>
        <v>2557.5140000000001</v>
      </c>
      <c r="F46" s="43">
        <f t="shared" si="1"/>
        <v>2422.9080000000004</v>
      </c>
      <c r="G46" s="43">
        <f t="shared" si="2"/>
        <v>2288.3020000000001</v>
      </c>
    </row>
    <row r="47" spans="1:7" s="29" customFormat="1" x14ac:dyDescent="0.2">
      <c r="A47" s="31">
        <f t="shared" si="3"/>
        <v>36</v>
      </c>
      <c r="B47" s="46">
        <v>74315005</v>
      </c>
      <c r="C47" s="31" t="s">
        <v>2499</v>
      </c>
      <c r="D47" s="43">
        <f>E9*36.38</f>
        <v>2692.1200000000003</v>
      </c>
      <c r="E47" s="43">
        <f t="shared" si="0"/>
        <v>2557.5140000000001</v>
      </c>
      <c r="F47" s="43">
        <f t="shared" si="1"/>
        <v>2422.9080000000004</v>
      </c>
      <c r="G47" s="43">
        <f t="shared" si="2"/>
        <v>2288.3020000000001</v>
      </c>
    </row>
    <row r="48" spans="1:7" s="29" customFormat="1" x14ac:dyDescent="0.2">
      <c r="A48" s="31">
        <f t="shared" si="3"/>
        <v>37</v>
      </c>
      <c r="B48" s="46">
        <v>74315050</v>
      </c>
      <c r="C48" s="31" t="s">
        <v>2500</v>
      </c>
      <c r="D48" s="43">
        <f>E9*33</f>
        <v>2442</v>
      </c>
      <c r="E48" s="43">
        <f t="shared" si="0"/>
        <v>2319.9</v>
      </c>
      <c r="F48" s="43">
        <f t="shared" si="1"/>
        <v>2197.8000000000002</v>
      </c>
      <c r="G48" s="43">
        <f t="shared" si="2"/>
        <v>2075.6999999999998</v>
      </c>
    </row>
    <row r="49" spans="1:7" s="29" customFormat="1" x14ac:dyDescent="0.2">
      <c r="A49" s="31">
        <f t="shared" si="3"/>
        <v>38</v>
      </c>
      <c r="B49" s="46">
        <v>74315052</v>
      </c>
      <c r="C49" s="31" t="s">
        <v>2501</v>
      </c>
      <c r="D49" s="43">
        <f>E9*33</f>
        <v>2442</v>
      </c>
      <c r="E49" s="43">
        <f t="shared" si="0"/>
        <v>2319.9</v>
      </c>
      <c r="F49" s="43">
        <f t="shared" si="1"/>
        <v>2197.8000000000002</v>
      </c>
      <c r="G49" s="43">
        <f t="shared" si="2"/>
        <v>2075.6999999999998</v>
      </c>
    </row>
    <row r="50" spans="1:7" s="29" customFormat="1" x14ac:dyDescent="0.2">
      <c r="A50" s="31">
        <f t="shared" si="3"/>
        <v>39</v>
      </c>
      <c r="B50" s="46">
        <v>74315054</v>
      </c>
      <c r="C50" s="31" t="s">
        <v>2502</v>
      </c>
      <c r="D50" s="43">
        <f>E9*33</f>
        <v>2442</v>
      </c>
      <c r="E50" s="43">
        <f t="shared" si="0"/>
        <v>2319.9</v>
      </c>
      <c r="F50" s="43">
        <f t="shared" si="1"/>
        <v>2197.8000000000002</v>
      </c>
      <c r="G50" s="43">
        <f t="shared" si="2"/>
        <v>2075.6999999999998</v>
      </c>
    </row>
    <row r="51" spans="1:7" s="29" customFormat="1" x14ac:dyDescent="0.2">
      <c r="A51" s="31">
        <f t="shared" si="3"/>
        <v>40</v>
      </c>
      <c r="B51" s="46">
        <v>74316007</v>
      </c>
      <c r="C51" s="31" t="s">
        <v>2503</v>
      </c>
      <c r="D51" s="43">
        <f>E9*43.7</f>
        <v>3233.8</v>
      </c>
      <c r="E51" s="43">
        <f t="shared" si="0"/>
        <v>3072.11</v>
      </c>
      <c r="F51" s="43">
        <f t="shared" si="1"/>
        <v>2910.42</v>
      </c>
      <c r="G51" s="43">
        <f t="shared" si="2"/>
        <v>2748.73</v>
      </c>
    </row>
    <row r="52" spans="1:7" s="29" customFormat="1" x14ac:dyDescent="0.2">
      <c r="A52" s="31">
        <f t="shared" si="3"/>
        <v>41</v>
      </c>
      <c r="B52" s="46">
        <v>74316006</v>
      </c>
      <c r="C52" s="31" t="s">
        <v>2504</v>
      </c>
      <c r="D52" s="43">
        <f>E9*42.05</f>
        <v>3111.7</v>
      </c>
      <c r="E52" s="43">
        <f t="shared" si="0"/>
        <v>2956.1149999999998</v>
      </c>
      <c r="F52" s="43">
        <f t="shared" si="1"/>
        <v>2800.5299999999997</v>
      </c>
      <c r="G52" s="43">
        <f t="shared" si="2"/>
        <v>2644.9449999999997</v>
      </c>
    </row>
    <row r="53" spans="1:7" s="29" customFormat="1" x14ac:dyDescent="0.2">
      <c r="A53" s="31">
        <f t="shared" si="3"/>
        <v>42</v>
      </c>
      <c r="B53" s="46">
        <v>74315026</v>
      </c>
      <c r="C53" s="31" t="s">
        <v>2505</v>
      </c>
      <c r="D53" s="43">
        <f>E9*36.38</f>
        <v>2692.1200000000003</v>
      </c>
      <c r="E53" s="43">
        <f t="shared" si="0"/>
        <v>2557.5140000000001</v>
      </c>
      <c r="F53" s="43">
        <f t="shared" si="1"/>
        <v>2422.9080000000004</v>
      </c>
      <c r="G53" s="43">
        <f t="shared" si="2"/>
        <v>2288.3020000000001</v>
      </c>
    </row>
    <row r="54" spans="1:7" s="29" customFormat="1" x14ac:dyDescent="0.2">
      <c r="A54" s="31">
        <f t="shared" si="3"/>
        <v>43</v>
      </c>
      <c r="B54" s="46">
        <v>74315033</v>
      </c>
      <c r="C54" s="31" t="s">
        <v>2506</v>
      </c>
      <c r="D54" s="43">
        <f>E9*35</f>
        <v>2590</v>
      </c>
      <c r="E54" s="43">
        <f t="shared" si="0"/>
        <v>2460.5</v>
      </c>
      <c r="F54" s="43">
        <f t="shared" si="1"/>
        <v>2331</v>
      </c>
      <c r="G54" s="43">
        <f t="shared" si="2"/>
        <v>2201.5</v>
      </c>
    </row>
    <row r="55" spans="1:7" x14ac:dyDescent="0.2">
      <c r="A55" s="31">
        <f t="shared" si="3"/>
        <v>44</v>
      </c>
      <c r="B55" s="21">
        <v>62213015</v>
      </c>
      <c r="C55" s="1" t="s">
        <v>2507</v>
      </c>
      <c r="D55" s="45">
        <f>E9*32.15</f>
        <v>2379.1</v>
      </c>
      <c r="E55" s="43">
        <f t="shared" si="0"/>
        <v>2260.145</v>
      </c>
      <c r="F55" s="43">
        <f t="shared" si="1"/>
        <v>2141.19</v>
      </c>
      <c r="G55" s="43">
        <f t="shared" si="2"/>
        <v>2022.2349999999999</v>
      </c>
    </row>
    <row r="56" spans="1:7" x14ac:dyDescent="0.2">
      <c r="A56" s="31">
        <f t="shared" si="3"/>
        <v>45</v>
      </c>
      <c r="B56" s="21">
        <v>62213301</v>
      </c>
      <c r="C56" s="1" t="s">
        <v>2508</v>
      </c>
      <c r="D56" s="45">
        <f>E9*32.15</f>
        <v>2379.1</v>
      </c>
      <c r="E56" s="43">
        <f t="shared" si="0"/>
        <v>2260.145</v>
      </c>
      <c r="F56" s="43">
        <f t="shared" si="1"/>
        <v>2141.19</v>
      </c>
      <c r="G56" s="43">
        <f t="shared" si="2"/>
        <v>2022.2349999999999</v>
      </c>
    </row>
    <row r="57" spans="1:7" x14ac:dyDescent="0.2">
      <c r="A57" s="31">
        <f t="shared" si="3"/>
        <v>46</v>
      </c>
      <c r="B57" s="21">
        <v>65132808</v>
      </c>
      <c r="C57" s="28" t="s">
        <v>2509</v>
      </c>
      <c r="D57" s="45">
        <f>E9*32.77</f>
        <v>2424.98</v>
      </c>
      <c r="E57" s="43">
        <f t="shared" si="0"/>
        <v>2303.7310000000002</v>
      </c>
      <c r="F57" s="43">
        <f t="shared" si="1"/>
        <v>2182.482</v>
      </c>
      <c r="G57" s="43">
        <f t="shared" si="2"/>
        <v>2061.2330000000002</v>
      </c>
    </row>
    <row r="58" spans="1:7" s="29" customFormat="1" x14ac:dyDescent="0.2">
      <c r="A58" s="31">
        <f t="shared" si="3"/>
        <v>47</v>
      </c>
      <c r="B58" s="21">
        <v>66113902</v>
      </c>
      <c r="C58" s="28" t="s">
        <v>2522</v>
      </c>
      <c r="D58" s="45">
        <f>E9*21.9</f>
        <v>1620.6</v>
      </c>
      <c r="E58" s="43">
        <f t="shared" si="0"/>
        <v>1539.57</v>
      </c>
      <c r="F58" s="43">
        <f t="shared" si="1"/>
        <v>1458.54</v>
      </c>
      <c r="G58" s="43">
        <f t="shared" si="2"/>
        <v>1377.51</v>
      </c>
    </row>
    <row r="59" spans="1:7" s="29" customFormat="1" x14ac:dyDescent="0.2">
      <c r="A59" s="31">
        <f t="shared" si="3"/>
        <v>48</v>
      </c>
      <c r="B59" s="21">
        <v>65123802</v>
      </c>
      <c r="C59" s="28" t="s">
        <v>2510</v>
      </c>
      <c r="D59" s="45">
        <f>E9*29.8</f>
        <v>2205.2000000000003</v>
      </c>
      <c r="E59" s="43">
        <f t="shared" si="0"/>
        <v>2094.94</v>
      </c>
      <c r="F59" s="43">
        <f t="shared" si="1"/>
        <v>1984.6800000000003</v>
      </c>
      <c r="G59" s="43">
        <f t="shared" si="2"/>
        <v>1874.4200000000003</v>
      </c>
    </row>
    <row r="60" spans="1:7" s="29" customFormat="1" x14ac:dyDescent="0.2">
      <c r="A60" s="31">
        <f t="shared" si="3"/>
        <v>49</v>
      </c>
      <c r="B60" s="21">
        <v>65123804</v>
      </c>
      <c r="C60" s="28" t="s">
        <v>2512</v>
      </c>
      <c r="D60" s="45">
        <f>E9*34.59</f>
        <v>2559.6600000000003</v>
      </c>
      <c r="E60" s="43">
        <f t="shared" si="0"/>
        <v>2431.6770000000001</v>
      </c>
      <c r="F60" s="43">
        <f t="shared" si="1"/>
        <v>2303.6940000000004</v>
      </c>
      <c r="G60" s="43">
        <f t="shared" si="2"/>
        <v>2175.7110000000002</v>
      </c>
    </row>
    <row r="61" spans="1:7" s="29" customFormat="1" x14ac:dyDescent="0.2">
      <c r="A61" s="31">
        <f t="shared" si="3"/>
        <v>50</v>
      </c>
      <c r="B61" s="21">
        <v>65123806</v>
      </c>
      <c r="C61" s="28" t="s">
        <v>2511</v>
      </c>
      <c r="D61" s="45">
        <f>E9*27.84</f>
        <v>2060.16</v>
      </c>
      <c r="E61" s="43">
        <f t="shared" si="0"/>
        <v>1957.1519999999998</v>
      </c>
      <c r="F61" s="43">
        <f t="shared" si="1"/>
        <v>1854.1439999999998</v>
      </c>
      <c r="G61" s="43">
        <f t="shared" si="2"/>
        <v>1751.136</v>
      </c>
    </row>
    <row r="62" spans="1:7" s="29" customFormat="1" x14ac:dyDescent="0.2">
      <c r="A62" s="31">
        <f t="shared" si="3"/>
        <v>51</v>
      </c>
      <c r="B62" s="21">
        <v>65123810</v>
      </c>
      <c r="C62" s="28" t="s">
        <v>2513</v>
      </c>
      <c r="D62" s="45">
        <f>E9*27.4</f>
        <v>2027.6</v>
      </c>
      <c r="E62" s="43">
        <f t="shared" si="0"/>
        <v>1926.2199999999998</v>
      </c>
      <c r="F62" s="43">
        <f t="shared" si="1"/>
        <v>1824.84</v>
      </c>
      <c r="G62" s="43">
        <f t="shared" si="2"/>
        <v>1723.46</v>
      </c>
    </row>
    <row r="63" spans="1:7" s="29" customFormat="1" x14ac:dyDescent="0.2">
      <c r="A63" s="31">
        <f t="shared" si="3"/>
        <v>52</v>
      </c>
      <c r="B63" s="21">
        <v>67113121</v>
      </c>
      <c r="C63" s="28" t="s">
        <v>2514</v>
      </c>
      <c r="D63" s="45">
        <f>E9*27.4</f>
        <v>2027.6</v>
      </c>
      <c r="E63" s="43">
        <f t="shared" si="0"/>
        <v>1926.2199999999998</v>
      </c>
      <c r="F63" s="43">
        <f t="shared" si="1"/>
        <v>1824.84</v>
      </c>
      <c r="G63" s="43">
        <f t="shared" si="2"/>
        <v>1723.46</v>
      </c>
    </row>
    <row r="64" spans="1:7" s="29" customFormat="1" x14ac:dyDescent="0.2">
      <c r="A64" s="31">
        <f t="shared" si="3"/>
        <v>53</v>
      </c>
      <c r="B64" s="21">
        <v>67215007</v>
      </c>
      <c r="C64" s="28" t="s">
        <v>2517</v>
      </c>
      <c r="D64" s="45">
        <f>E9*47</f>
        <v>3478</v>
      </c>
      <c r="E64" s="43">
        <f t="shared" si="0"/>
        <v>3304.1</v>
      </c>
      <c r="F64" s="43">
        <f t="shared" si="1"/>
        <v>3130.2</v>
      </c>
      <c r="G64" s="43">
        <f t="shared" si="2"/>
        <v>2956.3</v>
      </c>
    </row>
    <row r="65" spans="1:7" s="29" customFormat="1" x14ac:dyDescent="0.2">
      <c r="A65" s="31">
        <f t="shared" si="3"/>
        <v>54</v>
      </c>
      <c r="B65" s="21">
        <v>67113213</v>
      </c>
      <c r="C65" s="28" t="s">
        <v>2523</v>
      </c>
      <c r="D65" s="45">
        <f>E9*26</f>
        <v>1924</v>
      </c>
      <c r="E65" s="43">
        <f t="shared" si="0"/>
        <v>1827.8</v>
      </c>
      <c r="F65" s="43">
        <f t="shared" si="1"/>
        <v>1731.6</v>
      </c>
      <c r="G65" s="43">
        <f t="shared" si="2"/>
        <v>1635.4</v>
      </c>
    </row>
    <row r="66" spans="1:7" s="29" customFormat="1" x14ac:dyDescent="0.2">
      <c r="A66" s="31">
        <f t="shared" si="3"/>
        <v>55</v>
      </c>
      <c r="B66" s="21">
        <v>67113207</v>
      </c>
      <c r="C66" s="28" t="s">
        <v>2524</v>
      </c>
      <c r="D66" s="45">
        <f>E9*27.4</f>
        <v>2027.6</v>
      </c>
      <c r="E66" s="43">
        <f t="shared" si="0"/>
        <v>1926.2199999999998</v>
      </c>
      <c r="F66" s="43">
        <f t="shared" si="1"/>
        <v>1824.84</v>
      </c>
      <c r="G66" s="43">
        <f t="shared" si="2"/>
        <v>1723.46</v>
      </c>
    </row>
    <row r="67" spans="1:7" s="29" customFormat="1" x14ac:dyDescent="0.2">
      <c r="A67" s="31">
        <f t="shared" si="3"/>
        <v>56</v>
      </c>
      <c r="B67" s="21">
        <v>67115002</v>
      </c>
      <c r="C67" s="28" t="s">
        <v>2516</v>
      </c>
      <c r="D67" s="45">
        <f>E9*28.3</f>
        <v>2094.2000000000003</v>
      </c>
      <c r="E67" s="43">
        <f t="shared" si="0"/>
        <v>1989.4900000000002</v>
      </c>
      <c r="F67" s="43">
        <f t="shared" si="1"/>
        <v>1884.7800000000002</v>
      </c>
      <c r="G67" s="43">
        <f t="shared" si="2"/>
        <v>1780.0700000000002</v>
      </c>
    </row>
    <row r="68" spans="1:7" s="29" customFormat="1" x14ac:dyDescent="0.2">
      <c r="A68" s="31">
        <f t="shared" si="3"/>
        <v>57</v>
      </c>
      <c r="B68" s="21">
        <v>63108002</v>
      </c>
      <c r="C68" s="28" t="s">
        <v>2518</v>
      </c>
      <c r="D68" s="45">
        <f>E9*133</f>
        <v>9842</v>
      </c>
      <c r="E68" s="43">
        <f t="shared" si="0"/>
        <v>9349.9</v>
      </c>
      <c r="F68" s="43">
        <f t="shared" si="1"/>
        <v>8857.7999999999993</v>
      </c>
      <c r="G68" s="43">
        <f t="shared" si="2"/>
        <v>8365.7000000000007</v>
      </c>
    </row>
    <row r="69" spans="1:7" s="29" customFormat="1" x14ac:dyDescent="0.2">
      <c r="A69" s="31">
        <f t="shared" si="3"/>
        <v>58</v>
      </c>
      <c r="B69" s="21">
        <v>63107004</v>
      </c>
      <c r="C69" s="28" t="s">
        <v>2519</v>
      </c>
      <c r="D69" s="45">
        <f>E9*63.16</f>
        <v>4673.84</v>
      </c>
      <c r="E69" s="43">
        <f t="shared" si="0"/>
        <v>4440.1480000000001</v>
      </c>
      <c r="F69" s="43">
        <f t="shared" si="1"/>
        <v>4206.4560000000001</v>
      </c>
      <c r="G69" s="43">
        <f t="shared" si="2"/>
        <v>3972.7640000000001</v>
      </c>
    </row>
    <row r="70" spans="1:7" s="29" customFormat="1" x14ac:dyDescent="0.2">
      <c r="A70" s="31">
        <f t="shared" si="3"/>
        <v>59</v>
      </c>
      <c r="B70" s="21">
        <v>63107002</v>
      </c>
      <c r="C70" s="28" t="s">
        <v>2520</v>
      </c>
      <c r="D70" s="45">
        <f>E9*73.16</f>
        <v>5413.84</v>
      </c>
      <c r="E70" s="43">
        <f t="shared" si="0"/>
        <v>5143.1480000000001</v>
      </c>
      <c r="F70" s="43">
        <f t="shared" si="1"/>
        <v>4872.4560000000001</v>
      </c>
      <c r="G70" s="43">
        <f t="shared" si="2"/>
        <v>4601.7640000000001</v>
      </c>
    </row>
    <row r="71" spans="1:7" s="29" customFormat="1" x14ac:dyDescent="0.2">
      <c r="A71" s="31">
        <f t="shared" si="3"/>
        <v>60</v>
      </c>
      <c r="B71" s="21">
        <v>95200003</v>
      </c>
      <c r="C71" s="28" t="s">
        <v>2529</v>
      </c>
      <c r="D71" s="45">
        <f>E9*58.5</f>
        <v>4329</v>
      </c>
      <c r="E71" s="43">
        <f t="shared" si="0"/>
        <v>4112.55</v>
      </c>
      <c r="F71" s="43">
        <f t="shared" si="1"/>
        <v>3896.1</v>
      </c>
      <c r="G71" s="43">
        <f t="shared" si="2"/>
        <v>3679.65</v>
      </c>
    </row>
    <row r="72" spans="1:7" s="29" customFormat="1" x14ac:dyDescent="0.2">
      <c r="A72" s="31">
        <f t="shared" si="3"/>
        <v>61</v>
      </c>
      <c r="B72" s="21">
        <v>95200004</v>
      </c>
      <c r="C72" s="28" t="s">
        <v>2530</v>
      </c>
      <c r="D72" s="45">
        <f>E9*48.92</f>
        <v>3620.08</v>
      </c>
      <c r="E72" s="43">
        <f t="shared" si="0"/>
        <v>3439.076</v>
      </c>
      <c r="F72" s="43">
        <f t="shared" si="1"/>
        <v>3258.0720000000001</v>
      </c>
      <c r="G72" s="43">
        <f t="shared" si="2"/>
        <v>3077.0680000000002</v>
      </c>
    </row>
    <row r="73" spans="1:7" s="29" customFormat="1" x14ac:dyDescent="0.2">
      <c r="A73" s="31">
        <f t="shared" si="3"/>
        <v>62</v>
      </c>
      <c r="B73" s="21">
        <v>95200005</v>
      </c>
      <c r="C73" s="28" t="s">
        <v>2531</v>
      </c>
      <c r="D73" s="45">
        <f>E9*48.92</f>
        <v>3620.08</v>
      </c>
      <c r="E73" s="43">
        <f t="shared" si="0"/>
        <v>3439.076</v>
      </c>
      <c r="F73" s="43">
        <f t="shared" si="1"/>
        <v>3258.0720000000001</v>
      </c>
      <c r="G73" s="43">
        <f t="shared" si="2"/>
        <v>3077.0680000000002</v>
      </c>
    </row>
    <row r="74" spans="1:7" x14ac:dyDescent="0.2">
      <c r="A74" s="31">
        <f t="shared" si="3"/>
        <v>63</v>
      </c>
      <c r="B74" s="21">
        <v>95100004</v>
      </c>
      <c r="C74" s="1" t="s">
        <v>2526</v>
      </c>
      <c r="D74" s="45">
        <f>E9*5.1</f>
        <v>377.4</v>
      </c>
      <c r="E74" s="43">
        <f t="shared" si="0"/>
        <v>358.53</v>
      </c>
      <c r="F74" s="43">
        <f t="shared" si="1"/>
        <v>339.65999999999997</v>
      </c>
      <c r="G74" s="43">
        <f t="shared" si="2"/>
        <v>320.78999999999996</v>
      </c>
    </row>
    <row r="75" spans="1:7" x14ac:dyDescent="0.2">
      <c r="A75" s="31">
        <f t="shared" si="3"/>
        <v>64</v>
      </c>
      <c r="B75" s="21">
        <v>95100002</v>
      </c>
      <c r="C75" s="1" t="s">
        <v>2527</v>
      </c>
      <c r="D75" s="45">
        <f>E9*5.1</f>
        <v>377.4</v>
      </c>
      <c r="E75" s="43">
        <f t="shared" si="0"/>
        <v>358.53</v>
      </c>
      <c r="F75" s="43">
        <f t="shared" si="1"/>
        <v>339.65999999999997</v>
      </c>
      <c r="G75" s="43">
        <f t="shared" si="2"/>
        <v>320.78999999999996</v>
      </c>
    </row>
    <row r="76" spans="1:7" x14ac:dyDescent="0.2">
      <c r="A76" s="31">
        <f t="shared" si="3"/>
        <v>65</v>
      </c>
      <c r="B76" s="21">
        <v>95100007</v>
      </c>
      <c r="C76" s="1" t="s">
        <v>2528</v>
      </c>
      <c r="D76" s="45">
        <f>E9*5.25</f>
        <v>388.5</v>
      </c>
      <c r="E76" s="43">
        <f t="shared" si="0"/>
        <v>369.07499999999999</v>
      </c>
      <c r="F76" s="43">
        <f t="shared" si="1"/>
        <v>349.65</v>
      </c>
      <c r="G76" s="43">
        <f t="shared" si="2"/>
        <v>330.22500000000002</v>
      </c>
    </row>
    <row r="77" spans="1:7" s="29" customFormat="1" x14ac:dyDescent="0.2">
      <c r="A77" s="31">
        <f t="shared" si="3"/>
        <v>66</v>
      </c>
      <c r="B77" s="21">
        <v>95100051</v>
      </c>
      <c r="C77" s="28" t="s">
        <v>2532</v>
      </c>
      <c r="D77" s="45">
        <f>E9*10</f>
        <v>740</v>
      </c>
      <c r="E77" s="43">
        <f t="shared" si="0"/>
        <v>703</v>
      </c>
      <c r="F77" s="43">
        <f t="shared" si="1"/>
        <v>666</v>
      </c>
      <c r="G77" s="43">
        <f t="shared" si="2"/>
        <v>629</v>
      </c>
    </row>
    <row r="78" spans="1:7" s="29" customFormat="1" x14ac:dyDescent="0.2">
      <c r="A78" s="31">
        <f t="shared" ref="A78:A81" si="4">A77+1</f>
        <v>67</v>
      </c>
      <c r="B78" s="21">
        <v>95100093</v>
      </c>
      <c r="C78" s="28" t="s">
        <v>2536</v>
      </c>
      <c r="D78" s="45">
        <f>E9*10.65</f>
        <v>788.1</v>
      </c>
      <c r="E78" s="43">
        <f t="shared" ref="E78:E81" si="5">D78-D78*5%</f>
        <v>748.69500000000005</v>
      </c>
      <c r="F78" s="43">
        <f t="shared" ref="F78:F81" si="6">D78-D78*10%</f>
        <v>709.29</v>
      </c>
      <c r="G78" s="43">
        <f t="shared" ref="G78:G81" si="7">D78-D78*15%</f>
        <v>669.88499999999999</v>
      </c>
    </row>
    <row r="79" spans="1:7" x14ac:dyDescent="0.2">
      <c r="A79" s="31">
        <f t="shared" si="4"/>
        <v>68</v>
      </c>
      <c r="B79" s="21">
        <v>81400005</v>
      </c>
      <c r="C79" s="1" t="s">
        <v>2533</v>
      </c>
      <c r="D79" s="45">
        <f>E9*91.4</f>
        <v>6763.6</v>
      </c>
      <c r="E79" s="43">
        <f t="shared" si="5"/>
        <v>6425.42</v>
      </c>
      <c r="F79" s="43">
        <f t="shared" si="6"/>
        <v>6087.24</v>
      </c>
      <c r="G79" s="43">
        <f t="shared" si="7"/>
        <v>5749.06</v>
      </c>
    </row>
    <row r="80" spans="1:7" x14ac:dyDescent="0.2">
      <c r="A80" s="31">
        <f t="shared" si="4"/>
        <v>69</v>
      </c>
      <c r="B80" s="21">
        <v>80600004</v>
      </c>
      <c r="C80" s="1" t="s">
        <v>2534</v>
      </c>
      <c r="D80" s="45">
        <f>E9*76.21</f>
        <v>5639.54</v>
      </c>
      <c r="E80" s="43">
        <f t="shared" si="5"/>
        <v>5357.5630000000001</v>
      </c>
      <c r="F80" s="43">
        <f t="shared" si="6"/>
        <v>5075.5860000000002</v>
      </c>
      <c r="G80" s="43">
        <f t="shared" si="7"/>
        <v>4793.6090000000004</v>
      </c>
    </row>
    <row r="81" spans="1:7" x14ac:dyDescent="0.2">
      <c r="A81" s="31">
        <f t="shared" si="4"/>
        <v>70</v>
      </c>
      <c r="B81" s="21">
        <v>80600009</v>
      </c>
      <c r="C81" s="1" t="s">
        <v>2535</v>
      </c>
      <c r="D81" s="45">
        <f>E9*79</f>
        <v>5846</v>
      </c>
      <c r="E81" s="43">
        <f t="shared" si="5"/>
        <v>5553.7</v>
      </c>
      <c r="F81" s="43">
        <f t="shared" si="6"/>
        <v>5261.4</v>
      </c>
      <c r="G81" s="43">
        <f t="shared" si="7"/>
        <v>4969.1000000000004</v>
      </c>
    </row>
    <row r="82" spans="1:7" s="29" customFormat="1" x14ac:dyDescent="0.2">
      <c r="A82" s="31"/>
      <c r="B82" s="31"/>
      <c r="C82" s="30"/>
      <c r="D82" s="36"/>
      <c r="E82" s="43"/>
      <c r="F82" s="43"/>
      <c r="G82" s="43"/>
    </row>
    <row r="83" spans="1:7" x14ac:dyDescent="0.2">
      <c r="A83" s="31"/>
      <c r="B83" s="31"/>
      <c r="C83" s="3"/>
      <c r="D83" s="3"/>
      <c r="E83" s="3"/>
      <c r="F83" s="3"/>
      <c r="G83" s="36"/>
    </row>
    <row r="86" spans="1:7" x14ac:dyDescent="0.2">
      <c r="D86">
        <v>1</v>
      </c>
    </row>
    <row r="87" spans="1:7" ht="19.5" x14ac:dyDescent="0.35">
      <c r="C87" s="7" t="s">
        <v>11</v>
      </c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4"/>
  <sheetViews>
    <sheetView topLeftCell="B1" workbookViewId="0">
      <selection activeCell="E12" sqref="E12"/>
    </sheetView>
  </sheetViews>
  <sheetFormatPr defaultRowHeight="12.75" x14ac:dyDescent="0.2"/>
  <cols>
    <col min="2" max="2" width="105" customWidth="1"/>
    <col min="3" max="3" width="16" customWidth="1"/>
    <col min="4" max="4" width="15.85546875" customWidth="1"/>
    <col min="5" max="5" width="13.42578125" customWidth="1"/>
    <col min="6" max="6" width="16" customWidth="1"/>
    <col min="7" max="7" width="15.7109375" customWidth="1"/>
  </cols>
  <sheetData>
    <row r="1" spans="1:7" s="29" customFormat="1" x14ac:dyDescent="0.2"/>
    <row r="2" spans="1:7" s="29" customFormat="1" x14ac:dyDescent="0.2"/>
    <row r="3" spans="1:7" s="29" customFormat="1" x14ac:dyDescent="0.2">
      <c r="B3" s="4" t="s">
        <v>2462</v>
      </c>
    </row>
    <row r="4" spans="1:7" s="29" customFormat="1" x14ac:dyDescent="0.2">
      <c r="B4" s="4" t="s">
        <v>0</v>
      </c>
    </row>
    <row r="5" spans="1:7" s="29" customFormat="1" x14ac:dyDescent="0.2">
      <c r="B5" s="4" t="s">
        <v>1</v>
      </c>
    </row>
    <row r="6" spans="1:7" s="29" customFormat="1" x14ac:dyDescent="0.2">
      <c r="B6" s="10" t="s">
        <v>24</v>
      </c>
    </row>
    <row r="7" spans="1:7" s="29" customFormat="1" x14ac:dyDescent="0.2">
      <c r="B7" s="4" t="s">
        <v>13</v>
      </c>
    </row>
    <row r="8" spans="1:7" x14ac:dyDescent="0.2">
      <c r="B8" s="4" t="s">
        <v>2</v>
      </c>
    </row>
    <row r="9" spans="1:7" s="29" customFormat="1" x14ac:dyDescent="0.2">
      <c r="B9" s="4"/>
    </row>
    <row r="10" spans="1:7" s="29" customFormat="1" x14ac:dyDescent="0.2">
      <c r="B10" s="4"/>
    </row>
    <row r="11" spans="1:7" s="29" customFormat="1" x14ac:dyDescent="0.2">
      <c r="B11" s="4"/>
    </row>
    <row r="12" spans="1:7" s="29" customFormat="1" x14ac:dyDescent="0.2">
      <c r="B12" s="4"/>
      <c r="E12" s="53">
        <v>74</v>
      </c>
    </row>
    <row r="14" spans="1:7" ht="15" x14ac:dyDescent="0.25">
      <c r="A14" s="31" t="s">
        <v>4</v>
      </c>
      <c r="B14" s="22" t="s">
        <v>736</v>
      </c>
      <c r="C14" s="22" t="s">
        <v>808</v>
      </c>
      <c r="D14" s="22" t="s">
        <v>2539</v>
      </c>
      <c r="E14" s="22" t="s">
        <v>2540</v>
      </c>
      <c r="F14" s="24" t="s">
        <v>2541</v>
      </c>
      <c r="G14" s="47" t="s">
        <v>2542</v>
      </c>
    </row>
    <row r="15" spans="1:7" x14ac:dyDescent="0.2">
      <c r="A15" s="31">
        <v>1</v>
      </c>
      <c r="B15" s="23" t="s">
        <v>2543</v>
      </c>
      <c r="C15" s="21">
        <v>7914</v>
      </c>
      <c r="D15" s="43">
        <f>E12*1.57</f>
        <v>116.18</v>
      </c>
      <c r="E15" s="45">
        <f>D15-D15*5%</f>
        <v>110.37100000000001</v>
      </c>
      <c r="F15" s="45">
        <f>D15-D15*10%</f>
        <v>104.56200000000001</v>
      </c>
      <c r="G15" s="45">
        <f>D15-D15*15%</f>
        <v>98.753000000000014</v>
      </c>
    </row>
    <row r="16" spans="1:7" x14ac:dyDescent="0.2">
      <c r="A16" s="31">
        <f>A15+1</f>
        <v>2</v>
      </c>
      <c r="B16" s="23" t="s">
        <v>2544</v>
      </c>
      <c r="C16" s="21">
        <v>7915</v>
      </c>
      <c r="D16" s="43">
        <f>E12*1.57</f>
        <v>116.18</v>
      </c>
      <c r="E16" s="45">
        <f t="shared" ref="E16:E94" si="0">D16-D16*5%</f>
        <v>110.37100000000001</v>
      </c>
      <c r="F16" s="45">
        <f t="shared" ref="F16:F94" si="1">D16-D16*10%</f>
        <v>104.56200000000001</v>
      </c>
      <c r="G16" s="45">
        <f t="shared" ref="G16:G79" si="2">D16-D16*15%</f>
        <v>98.753000000000014</v>
      </c>
    </row>
    <row r="17" spans="1:7" x14ac:dyDescent="0.2">
      <c r="A17" s="31">
        <f t="shared" ref="A17:A80" si="3">A16+1</f>
        <v>3</v>
      </c>
      <c r="B17" s="23" t="s">
        <v>2545</v>
      </c>
      <c r="C17" s="21">
        <v>8346</v>
      </c>
      <c r="D17" s="43">
        <f>E12*1.65</f>
        <v>122.1</v>
      </c>
      <c r="E17" s="45">
        <f t="shared" si="0"/>
        <v>115.99499999999999</v>
      </c>
      <c r="F17" s="45">
        <f t="shared" si="1"/>
        <v>109.88999999999999</v>
      </c>
      <c r="G17" s="45">
        <f t="shared" si="2"/>
        <v>103.785</v>
      </c>
    </row>
    <row r="18" spans="1:7" s="29" customFormat="1" x14ac:dyDescent="0.2">
      <c r="A18" s="31">
        <f t="shared" si="3"/>
        <v>4</v>
      </c>
      <c r="B18" s="23" t="s">
        <v>2591</v>
      </c>
      <c r="C18" s="21">
        <v>7655</v>
      </c>
      <c r="D18" s="43">
        <f>E12*6.32</f>
        <v>467.68</v>
      </c>
      <c r="E18" s="45">
        <f t="shared" si="0"/>
        <v>444.29599999999999</v>
      </c>
      <c r="F18" s="45">
        <f t="shared" si="1"/>
        <v>420.91200000000003</v>
      </c>
      <c r="G18" s="45">
        <f t="shared" si="2"/>
        <v>397.52800000000002</v>
      </c>
    </row>
    <row r="19" spans="1:7" s="29" customFormat="1" x14ac:dyDescent="0.2">
      <c r="A19" s="31">
        <f t="shared" si="3"/>
        <v>5</v>
      </c>
      <c r="B19" s="23" t="s">
        <v>2593</v>
      </c>
      <c r="C19" s="21">
        <v>7652</v>
      </c>
      <c r="D19" s="43">
        <f>E12*7.74</f>
        <v>572.76</v>
      </c>
      <c r="E19" s="45">
        <f t="shared" si="0"/>
        <v>544.12199999999996</v>
      </c>
      <c r="F19" s="45">
        <f t="shared" si="1"/>
        <v>515.48400000000004</v>
      </c>
      <c r="G19" s="45">
        <f t="shared" si="2"/>
        <v>486.846</v>
      </c>
    </row>
    <row r="20" spans="1:7" s="29" customFormat="1" x14ac:dyDescent="0.2">
      <c r="A20" s="31">
        <f t="shared" si="3"/>
        <v>6</v>
      </c>
      <c r="B20" s="23" t="s">
        <v>2595</v>
      </c>
      <c r="C20" s="21">
        <v>7654</v>
      </c>
      <c r="D20" s="43">
        <f>E12*4.33</f>
        <v>320.42</v>
      </c>
      <c r="E20" s="45">
        <f t="shared" si="0"/>
        <v>304.399</v>
      </c>
      <c r="F20" s="45">
        <f t="shared" si="1"/>
        <v>288.37800000000004</v>
      </c>
      <c r="G20" s="45">
        <f t="shared" si="2"/>
        <v>272.35700000000003</v>
      </c>
    </row>
    <row r="21" spans="1:7" s="29" customFormat="1" x14ac:dyDescent="0.2">
      <c r="A21" s="31">
        <f t="shared" si="3"/>
        <v>7</v>
      </c>
      <c r="B21" s="23" t="s">
        <v>2596</v>
      </c>
      <c r="C21" s="21">
        <v>7775</v>
      </c>
      <c r="D21" s="43">
        <f>E12*8.18</f>
        <v>605.31999999999994</v>
      </c>
      <c r="E21" s="45">
        <f t="shared" si="0"/>
        <v>575.05399999999997</v>
      </c>
      <c r="F21" s="45">
        <f t="shared" si="1"/>
        <v>544.7879999999999</v>
      </c>
      <c r="G21" s="45">
        <f t="shared" si="2"/>
        <v>514.52199999999993</v>
      </c>
    </row>
    <row r="22" spans="1:7" s="29" customFormat="1" x14ac:dyDescent="0.2">
      <c r="A22" s="31">
        <f t="shared" si="3"/>
        <v>8</v>
      </c>
      <c r="B22" s="23" t="s">
        <v>2597</v>
      </c>
      <c r="C22" s="21">
        <v>7776</v>
      </c>
      <c r="D22" s="43">
        <f>E12*6.3</f>
        <v>466.2</v>
      </c>
      <c r="E22" s="45">
        <f t="shared" si="0"/>
        <v>442.89</v>
      </c>
      <c r="F22" s="45">
        <f t="shared" si="1"/>
        <v>419.58</v>
      </c>
      <c r="G22" s="45">
        <f t="shared" si="2"/>
        <v>396.27</v>
      </c>
    </row>
    <row r="23" spans="1:7" s="29" customFormat="1" x14ac:dyDescent="0.2">
      <c r="A23" s="31">
        <f t="shared" si="3"/>
        <v>9</v>
      </c>
      <c r="B23" s="23" t="s">
        <v>2605</v>
      </c>
      <c r="C23" s="21">
        <v>7653</v>
      </c>
      <c r="D23" s="43">
        <f>E12*6.5</f>
        <v>481</v>
      </c>
      <c r="E23" s="45">
        <f t="shared" si="0"/>
        <v>456.95</v>
      </c>
      <c r="F23" s="45">
        <f t="shared" si="1"/>
        <v>432.9</v>
      </c>
      <c r="G23" s="45">
        <f t="shared" si="2"/>
        <v>408.85</v>
      </c>
    </row>
    <row r="24" spans="1:7" s="29" customFormat="1" x14ac:dyDescent="0.2">
      <c r="A24" s="31">
        <f t="shared" si="3"/>
        <v>10</v>
      </c>
      <c r="B24" s="23" t="s">
        <v>2604</v>
      </c>
      <c r="C24" s="21">
        <v>7654</v>
      </c>
      <c r="D24" s="43">
        <f>E12*4.33</f>
        <v>320.42</v>
      </c>
      <c r="E24" s="45">
        <f t="shared" si="0"/>
        <v>304.399</v>
      </c>
      <c r="F24" s="45">
        <f t="shared" si="1"/>
        <v>288.37800000000004</v>
      </c>
      <c r="G24" s="45">
        <f t="shared" si="2"/>
        <v>272.35700000000003</v>
      </c>
    </row>
    <row r="25" spans="1:7" s="29" customFormat="1" x14ac:dyDescent="0.2">
      <c r="A25" s="31">
        <f t="shared" si="3"/>
        <v>11</v>
      </c>
      <c r="B25" s="23" t="s">
        <v>2599</v>
      </c>
      <c r="C25" s="21">
        <v>7609</v>
      </c>
      <c r="D25" s="43">
        <f>E12*12.09</f>
        <v>894.66</v>
      </c>
      <c r="E25" s="45">
        <f t="shared" si="0"/>
        <v>849.92699999999991</v>
      </c>
      <c r="F25" s="45">
        <f t="shared" si="1"/>
        <v>805.19399999999996</v>
      </c>
      <c r="G25" s="45">
        <f t="shared" si="2"/>
        <v>760.46100000000001</v>
      </c>
    </row>
    <row r="26" spans="1:7" s="29" customFormat="1" x14ac:dyDescent="0.2">
      <c r="A26" s="31">
        <f t="shared" si="3"/>
        <v>12</v>
      </c>
      <c r="B26" s="23" t="s">
        <v>2565</v>
      </c>
      <c r="C26" s="21">
        <v>1026</v>
      </c>
      <c r="D26" s="43">
        <f>E12*10.01</f>
        <v>740.74</v>
      </c>
      <c r="E26" s="45">
        <f t="shared" si="0"/>
        <v>703.70299999999997</v>
      </c>
      <c r="F26" s="45">
        <f t="shared" si="1"/>
        <v>666.66600000000005</v>
      </c>
      <c r="G26" s="45">
        <f t="shared" si="2"/>
        <v>629.62900000000002</v>
      </c>
    </row>
    <row r="27" spans="1:7" s="29" customFormat="1" x14ac:dyDescent="0.2">
      <c r="A27" s="31">
        <f t="shared" si="3"/>
        <v>13</v>
      </c>
      <c r="B27" s="23" t="s">
        <v>2627</v>
      </c>
      <c r="C27" s="21">
        <v>7586</v>
      </c>
      <c r="D27" s="43">
        <f>E12*14.25</f>
        <v>1054.5</v>
      </c>
      <c r="E27" s="45">
        <f t="shared" si="0"/>
        <v>1001.775</v>
      </c>
      <c r="F27" s="45">
        <f t="shared" si="1"/>
        <v>949.05</v>
      </c>
      <c r="G27" s="45">
        <f t="shared" si="2"/>
        <v>896.32500000000005</v>
      </c>
    </row>
    <row r="28" spans="1:7" s="29" customFormat="1" x14ac:dyDescent="0.2">
      <c r="A28" s="31">
        <f t="shared" si="3"/>
        <v>14</v>
      </c>
      <c r="B28" s="23" t="s">
        <v>2598</v>
      </c>
      <c r="C28" s="21">
        <v>7598</v>
      </c>
      <c r="D28" s="43">
        <f>E12*27.75</f>
        <v>2053.5</v>
      </c>
      <c r="E28" s="45">
        <f t="shared" si="0"/>
        <v>1950.825</v>
      </c>
      <c r="F28" s="45">
        <f t="shared" si="1"/>
        <v>1848.15</v>
      </c>
      <c r="G28" s="45">
        <f t="shared" si="2"/>
        <v>1745.4749999999999</v>
      </c>
    </row>
    <row r="29" spans="1:7" s="29" customFormat="1" x14ac:dyDescent="0.2">
      <c r="A29" s="31">
        <f t="shared" si="3"/>
        <v>15</v>
      </c>
      <c r="B29" s="23" t="s">
        <v>2608</v>
      </c>
      <c r="C29" s="21">
        <v>7772</v>
      </c>
      <c r="D29" s="43">
        <f>E12*33.47</f>
        <v>2476.7799999999997</v>
      </c>
      <c r="E29" s="45">
        <f t="shared" si="0"/>
        <v>2352.9409999999998</v>
      </c>
      <c r="F29" s="45">
        <f t="shared" si="1"/>
        <v>2229.1019999999999</v>
      </c>
      <c r="G29" s="45">
        <f t="shared" si="2"/>
        <v>2105.2629999999999</v>
      </c>
    </row>
    <row r="30" spans="1:7" s="29" customFormat="1" x14ac:dyDescent="0.2">
      <c r="A30" s="31">
        <f t="shared" si="3"/>
        <v>16</v>
      </c>
      <c r="B30" s="23" t="s">
        <v>2607</v>
      </c>
      <c r="C30" s="21">
        <v>7672</v>
      </c>
      <c r="D30" s="43">
        <f>E12*7.16</f>
        <v>529.84</v>
      </c>
      <c r="E30" s="45">
        <f t="shared" si="0"/>
        <v>503.34800000000001</v>
      </c>
      <c r="F30" s="45">
        <f t="shared" si="1"/>
        <v>476.85599999999999</v>
      </c>
      <c r="G30" s="45">
        <f t="shared" si="2"/>
        <v>450.36400000000003</v>
      </c>
    </row>
    <row r="31" spans="1:7" s="29" customFormat="1" x14ac:dyDescent="0.2">
      <c r="A31" s="31">
        <f t="shared" si="3"/>
        <v>17</v>
      </c>
      <c r="B31" s="23" t="s">
        <v>2600</v>
      </c>
      <c r="C31" s="21">
        <v>7671</v>
      </c>
      <c r="D31" s="43">
        <f>E12*11.65</f>
        <v>862.1</v>
      </c>
      <c r="E31" s="45">
        <f t="shared" si="0"/>
        <v>818.995</v>
      </c>
      <c r="F31" s="45">
        <f t="shared" si="1"/>
        <v>775.89</v>
      </c>
      <c r="G31" s="45">
        <f t="shared" si="2"/>
        <v>732.78500000000008</v>
      </c>
    </row>
    <row r="32" spans="1:7" s="29" customFormat="1" x14ac:dyDescent="0.2">
      <c r="A32" s="31">
        <f t="shared" si="3"/>
        <v>18</v>
      </c>
      <c r="B32" s="23" t="s">
        <v>2609</v>
      </c>
      <c r="C32" s="21">
        <v>7952</v>
      </c>
      <c r="D32" s="43">
        <f>E12*7.18</f>
        <v>531.31999999999994</v>
      </c>
      <c r="E32" s="45">
        <f t="shared" si="0"/>
        <v>504.75399999999996</v>
      </c>
      <c r="F32" s="45">
        <f t="shared" si="1"/>
        <v>478.18799999999993</v>
      </c>
      <c r="G32" s="45">
        <f t="shared" si="2"/>
        <v>451.62199999999996</v>
      </c>
    </row>
    <row r="33" spans="1:7" x14ac:dyDescent="0.2">
      <c r="A33" s="31">
        <f t="shared" si="3"/>
        <v>19</v>
      </c>
      <c r="B33" s="23" t="s">
        <v>2546</v>
      </c>
      <c r="C33" s="21">
        <v>8237</v>
      </c>
      <c r="D33" s="45">
        <f>E12*0.8</f>
        <v>59.2</v>
      </c>
      <c r="E33" s="45">
        <f t="shared" si="0"/>
        <v>56.24</v>
      </c>
      <c r="F33" s="45">
        <f t="shared" si="1"/>
        <v>53.28</v>
      </c>
      <c r="G33" s="45">
        <f t="shared" si="2"/>
        <v>50.32</v>
      </c>
    </row>
    <row r="34" spans="1:7" x14ac:dyDescent="0.2">
      <c r="A34" s="31">
        <f t="shared" si="3"/>
        <v>20</v>
      </c>
      <c r="B34" s="23" t="s">
        <v>2547</v>
      </c>
      <c r="C34" s="21">
        <v>8241</v>
      </c>
      <c r="D34" s="45">
        <f>E12*1.4</f>
        <v>103.6</v>
      </c>
      <c r="E34" s="45">
        <f t="shared" si="0"/>
        <v>98.419999999999987</v>
      </c>
      <c r="F34" s="45">
        <f t="shared" si="1"/>
        <v>93.24</v>
      </c>
      <c r="G34" s="45">
        <f t="shared" si="2"/>
        <v>88.06</v>
      </c>
    </row>
    <row r="35" spans="1:7" x14ac:dyDescent="0.2">
      <c r="A35" s="31">
        <f t="shared" si="3"/>
        <v>21</v>
      </c>
      <c r="B35" s="23" t="s">
        <v>2549</v>
      </c>
      <c r="C35" s="21">
        <v>7962</v>
      </c>
      <c r="D35" s="45">
        <f>E12*4.01</f>
        <v>296.74</v>
      </c>
      <c r="E35" s="45">
        <f t="shared" si="0"/>
        <v>281.90300000000002</v>
      </c>
      <c r="F35" s="45">
        <f t="shared" si="1"/>
        <v>267.06600000000003</v>
      </c>
      <c r="G35" s="45">
        <f t="shared" si="2"/>
        <v>252.22900000000001</v>
      </c>
    </row>
    <row r="36" spans="1:7" x14ac:dyDescent="0.2">
      <c r="A36" s="31">
        <f t="shared" si="3"/>
        <v>22</v>
      </c>
      <c r="B36" s="23" t="s">
        <v>2550</v>
      </c>
      <c r="C36" s="21">
        <v>7844</v>
      </c>
      <c r="D36" s="45">
        <f>E12*8.05</f>
        <v>595.70000000000005</v>
      </c>
      <c r="E36" s="45">
        <f t="shared" si="0"/>
        <v>565.91500000000008</v>
      </c>
      <c r="F36" s="45">
        <f t="shared" si="1"/>
        <v>536.13</v>
      </c>
      <c r="G36" s="45">
        <f t="shared" si="2"/>
        <v>506.34500000000003</v>
      </c>
    </row>
    <row r="37" spans="1:7" x14ac:dyDescent="0.2">
      <c r="A37" s="31">
        <f t="shared" si="3"/>
        <v>23</v>
      </c>
      <c r="B37" s="23" t="s">
        <v>2551</v>
      </c>
      <c r="C37" s="21">
        <v>7445</v>
      </c>
      <c r="D37" s="45">
        <f>E12*6.78</f>
        <v>501.72</v>
      </c>
      <c r="E37" s="45">
        <f t="shared" si="0"/>
        <v>476.63400000000001</v>
      </c>
      <c r="F37" s="45">
        <f t="shared" si="1"/>
        <v>451.548</v>
      </c>
      <c r="G37" s="45">
        <f t="shared" si="2"/>
        <v>426.46200000000005</v>
      </c>
    </row>
    <row r="38" spans="1:7" x14ac:dyDescent="0.2">
      <c r="A38" s="31">
        <f t="shared" si="3"/>
        <v>24</v>
      </c>
      <c r="B38" s="23" t="s">
        <v>2553</v>
      </c>
      <c r="C38" s="21">
        <v>7909</v>
      </c>
      <c r="D38" s="45">
        <f>E12*23.9</f>
        <v>1768.6</v>
      </c>
      <c r="E38" s="45">
        <f t="shared" si="0"/>
        <v>1680.1699999999998</v>
      </c>
      <c r="F38" s="45">
        <f t="shared" si="1"/>
        <v>1591.7399999999998</v>
      </c>
      <c r="G38" s="45">
        <f t="shared" si="2"/>
        <v>1503.31</v>
      </c>
    </row>
    <row r="39" spans="1:7" x14ac:dyDescent="0.2">
      <c r="A39" s="31">
        <f t="shared" si="3"/>
        <v>25</v>
      </c>
      <c r="B39" s="23" t="s">
        <v>2555</v>
      </c>
      <c r="C39" s="21">
        <v>8238</v>
      </c>
      <c r="D39" s="45">
        <f>E12*2.25</f>
        <v>166.5</v>
      </c>
      <c r="E39" s="45">
        <f t="shared" si="0"/>
        <v>158.17500000000001</v>
      </c>
      <c r="F39" s="45">
        <f t="shared" si="1"/>
        <v>149.85</v>
      </c>
      <c r="G39" s="45">
        <f t="shared" si="2"/>
        <v>141.52500000000001</v>
      </c>
    </row>
    <row r="40" spans="1:7" x14ac:dyDescent="0.2">
      <c r="A40" s="31">
        <f t="shared" si="3"/>
        <v>26</v>
      </c>
      <c r="B40" s="23" t="s">
        <v>2558</v>
      </c>
      <c r="C40" s="21">
        <v>7503</v>
      </c>
      <c r="D40" s="45">
        <f>E12*3.75</f>
        <v>277.5</v>
      </c>
      <c r="E40" s="45">
        <f t="shared" si="0"/>
        <v>263.625</v>
      </c>
      <c r="F40" s="45">
        <f t="shared" si="1"/>
        <v>249.75</v>
      </c>
      <c r="G40" s="45">
        <f t="shared" si="2"/>
        <v>235.875</v>
      </c>
    </row>
    <row r="41" spans="1:7" x14ac:dyDescent="0.2">
      <c r="A41" s="31">
        <f t="shared" si="3"/>
        <v>27</v>
      </c>
      <c r="B41" s="23" t="s">
        <v>2559</v>
      </c>
      <c r="C41" s="21">
        <v>7504</v>
      </c>
      <c r="D41" s="45">
        <f>E12*5.06</f>
        <v>374.44</v>
      </c>
      <c r="E41" s="45">
        <f t="shared" si="0"/>
        <v>355.71800000000002</v>
      </c>
      <c r="F41" s="45">
        <f t="shared" si="1"/>
        <v>336.99599999999998</v>
      </c>
      <c r="G41" s="45">
        <f t="shared" si="2"/>
        <v>318.274</v>
      </c>
    </row>
    <row r="42" spans="1:7" x14ac:dyDescent="0.2">
      <c r="A42" s="31">
        <f t="shared" si="3"/>
        <v>28</v>
      </c>
      <c r="B42" s="23" t="s">
        <v>2560</v>
      </c>
      <c r="C42" s="21">
        <v>7622</v>
      </c>
      <c r="D42" s="45">
        <f>E12*9.05</f>
        <v>669.7</v>
      </c>
      <c r="E42" s="45">
        <f t="shared" si="0"/>
        <v>636.21500000000003</v>
      </c>
      <c r="F42" s="45">
        <f t="shared" si="1"/>
        <v>602.73</v>
      </c>
      <c r="G42" s="45">
        <f t="shared" si="2"/>
        <v>569.245</v>
      </c>
    </row>
    <row r="43" spans="1:7" x14ac:dyDescent="0.2">
      <c r="A43" s="31">
        <f t="shared" si="3"/>
        <v>29</v>
      </c>
      <c r="B43" s="23" t="s">
        <v>2561</v>
      </c>
      <c r="C43" s="21">
        <v>7436</v>
      </c>
      <c r="D43" s="45">
        <f>E12*4.58</f>
        <v>338.92</v>
      </c>
      <c r="E43" s="45">
        <f t="shared" si="0"/>
        <v>321.97399999999999</v>
      </c>
      <c r="F43" s="45">
        <f t="shared" si="1"/>
        <v>305.02800000000002</v>
      </c>
      <c r="G43" s="45">
        <f t="shared" si="2"/>
        <v>288.08199999999999</v>
      </c>
    </row>
    <row r="44" spans="1:7" x14ac:dyDescent="0.2">
      <c r="A44" s="31">
        <f t="shared" si="3"/>
        <v>30</v>
      </c>
      <c r="B44" s="23" t="s">
        <v>2562</v>
      </c>
      <c r="C44" s="21">
        <v>7545</v>
      </c>
      <c r="D44" s="45">
        <f>E12*3.91</f>
        <v>289.34000000000003</v>
      </c>
      <c r="E44" s="45">
        <f t="shared" si="0"/>
        <v>274.87300000000005</v>
      </c>
      <c r="F44" s="45">
        <f t="shared" si="1"/>
        <v>260.40600000000001</v>
      </c>
      <c r="G44" s="45">
        <f t="shared" si="2"/>
        <v>245.93900000000002</v>
      </c>
    </row>
    <row r="45" spans="1:7" x14ac:dyDescent="0.2">
      <c r="A45" s="31">
        <f t="shared" si="3"/>
        <v>31</v>
      </c>
      <c r="B45" s="23" t="s">
        <v>2563</v>
      </c>
      <c r="C45" s="21">
        <v>7502</v>
      </c>
      <c r="D45" s="45">
        <f>E12*3.28</f>
        <v>242.72</v>
      </c>
      <c r="E45" s="45">
        <f t="shared" si="0"/>
        <v>230.584</v>
      </c>
      <c r="F45" s="45">
        <f t="shared" si="1"/>
        <v>218.44800000000001</v>
      </c>
      <c r="G45" s="45">
        <f t="shared" si="2"/>
        <v>206.31200000000001</v>
      </c>
    </row>
    <row r="46" spans="1:7" x14ac:dyDescent="0.2">
      <c r="A46" s="31">
        <f t="shared" si="3"/>
        <v>32</v>
      </c>
      <c r="B46" s="23" t="s">
        <v>2564</v>
      </c>
      <c r="C46" s="21">
        <v>7531</v>
      </c>
      <c r="D46" s="45">
        <f>E12*5.56</f>
        <v>411.44</v>
      </c>
      <c r="E46" s="45">
        <f t="shared" si="0"/>
        <v>390.86799999999999</v>
      </c>
      <c r="F46" s="45">
        <f t="shared" si="1"/>
        <v>370.29599999999999</v>
      </c>
      <c r="G46" s="45">
        <f t="shared" si="2"/>
        <v>349.72399999999999</v>
      </c>
    </row>
    <row r="47" spans="1:7" s="29" customFormat="1" x14ac:dyDescent="0.2">
      <c r="A47" s="31">
        <f t="shared" si="3"/>
        <v>33</v>
      </c>
      <c r="B47" s="23" t="s">
        <v>2567</v>
      </c>
      <c r="C47" s="21">
        <v>7808</v>
      </c>
      <c r="D47" s="45">
        <f>E12*6.48</f>
        <v>479.52000000000004</v>
      </c>
      <c r="E47" s="45">
        <f t="shared" si="0"/>
        <v>455.54400000000004</v>
      </c>
      <c r="F47" s="45">
        <f t="shared" si="1"/>
        <v>431.56800000000004</v>
      </c>
      <c r="G47" s="45">
        <f t="shared" si="2"/>
        <v>407.59200000000004</v>
      </c>
    </row>
    <row r="48" spans="1:7" s="29" customFormat="1" x14ac:dyDescent="0.2">
      <c r="A48" s="31">
        <f t="shared" si="3"/>
        <v>34</v>
      </c>
      <c r="B48" s="23" t="s">
        <v>2570</v>
      </c>
      <c r="C48" s="21">
        <v>7702</v>
      </c>
      <c r="D48" s="45">
        <f>E12*6.41</f>
        <v>474.34000000000003</v>
      </c>
      <c r="E48" s="45">
        <f t="shared" si="0"/>
        <v>450.62300000000005</v>
      </c>
      <c r="F48" s="45">
        <f t="shared" si="1"/>
        <v>426.90600000000001</v>
      </c>
      <c r="G48" s="45">
        <f t="shared" si="2"/>
        <v>403.18900000000002</v>
      </c>
    </row>
    <row r="49" spans="1:7" s="29" customFormat="1" x14ac:dyDescent="0.2">
      <c r="A49" s="31">
        <f t="shared" si="3"/>
        <v>35</v>
      </c>
      <c r="B49" s="23" t="s">
        <v>2574</v>
      </c>
      <c r="C49" s="21">
        <v>8015</v>
      </c>
      <c r="D49" s="45">
        <f>E12*7.68</f>
        <v>568.31999999999994</v>
      </c>
      <c r="E49" s="45">
        <f t="shared" si="0"/>
        <v>539.904</v>
      </c>
      <c r="F49" s="45">
        <f t="shared" si="1"/>
        <v>511.48799999999994</v>
      </c>
      <c r="G49" s="45">
        <f t="shared" si="2"/>
        <v>483.07199999999995</v>
      </c>
    </row>
    <row r="50" spans="1:7" s="29" customFormat="1" x14ac:dyDescent="0.2">
      <c r="A50" s="31">
        <f t="shared" si="3"/>
        <v>36</v>
      </c>
      <c r="B50" s="23" t="s">
        <v>2575</v>
      </c>
      <c r="C50" s="21">
        <v>8212</v>
      </c>
      <c r="D50" s="45">
        <f>E12*1.45</f>
        <v>107.3</v>
      </c>
      <c r="E50" s="45">
        <f t="shared" si="0"/>
        <v>101.935</v>
      </c>
      <c r="F50" s="45">
        <f t="shared" si="1"/>
        <v>96.57</v>
      </c>
      <c r="G50" s="45">
        <f t="shared" si="2"/>
        <v>91.204999999999998</v>
      </c>
    </row>
    <row r="51" spans="1:7" s="29" customFormat="1" x14ac:dyDescent="0.2">
      <c r="A51" s="31">
        <f t="shared" si="3"/>
        <v>37</v>
      </c>
      <c r="B51" s="23" t="s">
        <v>2578</v>
      </c>
      <c r="C51" s="21">
        <v>7532</v>
      </c>
      <c r="D51" s="45">
        <f>E12*3.58</f>
        <v>264.92</v>
      </c>
      <c r="E51" s="45">
        <f t="shared" si="0"/>
        <v>251.67400000000001</v>
      </c>
      <c r="F51" s="45">
        <f t="shared" si="1"/>
        <v>238.428</v>
      </c>
      <c r="G51" s="45">
        <f t="shared" si="2"/>
        <v>225.18200000000002</v>
      </c>
    </row>
    <row r="52" spans="1:7" s="29" customFormat="1" x14ac:dyDescent="0.2">
      <c r="A52" s="31">
        <f t="shared" si="3"/>
        <v>38</v>
      </c>
      <c r="B52" s="23" t="s">
        <v>2594</v>
      </c>
      <c r="C52" s="21">
        <v>7670</v>
      </c>
      <c r="D52" s="45">
        <f>E12*6.52</f>
        <v>482.47999999999996</v>
      </c>
      <c r="E52" s="45">
        <f t="shared" si="0"/>
        <v>458.35599999999994</v>
      </c>
      <c r="F52" s="45">
        <f t="shared" si="1"/>
        <v>434.23199999999997</v>
      </c>
      <c r="G52" s="45">
        <f t="shared" si="2"/>
        <v>410.10799999999995</v>
      </c>
    </row>
    <row r="53" spans="1:7" s="29" customFormat="1" x14ac:dyDescent="0.2">
      <c r="A53" s="31">
        <f t="shared" si="3"/>
        <v>39</v>
      </c>
      <c r="B53" s="23" t="s">
        <v>2600</v>
      </c>
      <c r="C53" s="21">
        <v>7671</v>
      </c>
      <c r="D53" s="45">
        <f>E12*11.65</f>
        <v>862.1</v>
      </c>
      <c r="E53" s="45">
        <f t="shared" si="0"/>
        <v>818.995</v>
      </c>
      <c r="F53" s="45">
        <f t="shared" si="1"/>
        <v>775.89</v>
      </c>
      <c r="G53" s="45">
        <f t="shared" si="2"/>
        <v>732.78500000000008</v>
      </c>
    </row>
    <row r="54" spans="1:7" s="29" customFormat="1" x14ac:dyDescent="0.2">
      <c r="A54" s="31">
        <f t="shared" si="3"/>
        <v>40</v>
      </c>
      <c r="B54" s="23" t="s">
        <v>2603</v>
      </c>
      <c r="C54" s="21">
        <v>7575</v>
      </c>
      <c r="D54" s="45">
        <f>E12*2.95</f>
        <v>218.3</v>
      </c>
      <c r="E54" s="45">
        <f t="shared" si="0"/>
        <v>207.38500000000002</v>
      </c>
      <c r="F54" s="45">
        <f t="shared" si="1"/>
        <v>196.47</v>
      </c>
      <c r="G54" s="45">
        <f t="shared" si="2"/>
        <v>185.55500000000001</v>
      </c>
    </row>
    <row r="55" spans="1:7" s="29" customFormat="1" x14ac:dyDescent="0.2">
      <c r="A55" s="31">
        <f t="shared" si="3"/>
        <v>41</v>
      </c>
      <c r="B55" s="23" t="s">
        <v>2602</v>
      </c>
      <c r="C55" s="21">
        <v>7680</v>
      </c>
      <c r="D55" s="45">
        <f>E12*5.28</f>
        <v>390.72</v>
      </c>
      <c r="E55" s="45">
        <f t="shared" si="0"/>
        <v>371.18400000000003</v>
      </c>
      <c r="F55" s="45">
        <f t="shared" si="1"/>
        <v>351.64800000000002</v>
      </c>
      <c r="G55" s="45">
        <f t="shared" si="2"/>
        <v>332.11200000000002</v>
      </c>
    </row>
    <row r="56" spans="1:7" s="29" customFormat="1" x14ac:dyDescent="0.2">
      <c r="A56" s="31">
        <f t="shared" si="3"/>
        <v>42</v>
      </c>
      <c r="B56" s="23" t="s">
        <v>2606</v>
      </c>
      <c r="C56" s="21">
        <v>7389</v>
      </c>
      <c r="D56" s="45">
        <f>E12*18.2</f>
        <v>1346.8</v>
      </c>
      <c r="E56" s="45">
        <f t="shared" si="0"/>
        <v>1279.46</v>
      </c>
      <c r="F56" s="45">
        <f t="shared" si="1"/>
        <v>1212.1199999999999</v>
      </c>
      <c r="G56" s="45">
        <f t="shared" si="2"/>
        <v>1144.78</v>
      </c>
    </row>
    <row r="57" spans="1:7" s="29" customFormat="1" x14ac:dyDescent="0.2">
      <c r="A57" s="31">
        <f t="shared" si="3"/>
        <v>43</v>
      </c>
      <c r="B57" s="23" t="s">
        <v>2621</v>
      </c>
      <c r="C57" s="21">
        <v>9400</v>
      </c>
      <c r="D57" s="45">
        <f>E12*7.8</f>
        <v>577.19999999999993</v>
      </c>
      <c r="E57" s="45">
        <f t="shared" si="0"/>
        <v>548.33999999999992</v>
      </c>
      <c r="F57" s="45">
        <f t="shared" si="1"/>
        <v>519.4799999999999</v>
      </c>
      <c r="G57" s="45">
        <f t="shared" si="2"/>
        <v>490.61999999999995</v>
      </c>
    </row>
    <row r="58" spans="1:7" s="29" customFormat="1" x14ac:dyDescent="0.2">
      <c r="A58" s="31">
        <f t="shared" si="3"/>
        <v>44</v>
      </c>
      <c r="B58" s="23" t="s">
        <v>2625</v>
      </c>
      <c r="C58" s="21">
        <v>7843</v>
      </c>
      <c r="D58" s="45">
        <f>E12*6.33</f>
        <v>468.42</v>
      </c>
      <c r="E58" s="45">
        <f t="shared" si="0"/>
        <v>444.99900000000002</v>
      </c>
      <c r="F58" s="45">
        <f t="shared" si="1"/>
        <v>421.57800000000003</v>
      </c>
      <c r="G58" s="45">
        <f t="shared" si="2"/>
        <v>398.15700000000004</v>
      </c>
    </row>
    <row r="59" spans="1:7" s="29" customFormat="1" x14ac:dyDescent="0.2">
      <c r="A59" s="31">
        <f t="shared" si="3"/>
        <v>45</v>
      </c>
      <c r="B59" s="23" t="s">
        <v>2626</v>
      </c>
      <c r="C59" s="21">
        <v>7807</v>
      </c>
      <c r="D59" s="45">
        <f>E12*4.45</f>
        <v>329.3</v>
      </c>
      <c r="E59" s="45">
        <f t="shared" si="0"/>
        <v>312.83500000000004</v>
      </c>
      <c r="F59" s="45">
        <f t="shared" si="1"/>
        <v>296.37</v>
      </c>
      <c r="G59" s="45">
        <f t="shared" si="2"/>
        <v>279.90500000000003</v>
      </c>
    </row>
    <row r="60" spans="1:7" s="29" customFormat="1" x14ac:dyDescent="0.2">
      <c r="A60" s="31">
        <f t="shared" si="3"/>
        <v>46</v>
      </c>
      <c r="B60" s="23" t="s">
        <v>2628</v>
      </c>
      <c r="C60" s="21">
        <v>7860</v>
      </c>
      <c r="D60" s="45">
        <f>E12*23.03</f>
        <v>1704.22</v>
      </c>
      <c r="E60" s="45">
        <f t="shared" si="0"/>
        <v>1619.009</v>
      </c>
      <c r="F60" s="45">
        <f t="shared" si="1"/>
        <v>1533.798</v>
      </c>
      <c r="G60" s="45">
        <f t="shared" si="2"/>
        <v>1448.587</v>
      </c>
    </row>
    <row r="61" spans="1:7" s="29" customFormat="1" x14ac:dyDescent="0.2">
      <c r="A61" s="31">
        <f t="shared" si="3"/>
        <v>47</v>
      </c>
      <c r="B61" s="23" t="s">
        <v>2613</v>
      </c>
      <c r="C61" s="21">
        <v>7610</v>
      </c>
      <c r="D61" s="45">
        <f>E12*13.43</f>
        <v>993.81999999999994</v>
      </c>
      <c r="E61" s="45">
        <f t="shared" si="0"/>
        <v>944.12899999999991</v>
      </c>
      <c r="F61" s="45">
        <f t="shared" si="1"/>
        <v>894.43799999999987</v>
      </c>
      <c r="G61" s="45">
        <f t="shared" si="2"/>
        <v>844.74699999999996</v>
      </c>
    </row>
    <row r="62" spans="1:7" s="29" customFormat="1" x14ac:dyDescent="0.2">
      <c r="A62" s="31">
        <f t="shared" si="3"/>
        <v>48</v>
      </c>
      <c r="B62" s="23" t="s">
        <v>2548</v>
      </c>
      <c r="C62" s="21">
        <v>7767</v>
      </c>
      <c r="D62" s="45">
        <f>E12*19.61</f>
        <v>1451.1399999999999</v>
      </c>
      <c r="E62" s="45">
        <f t="shared" si="0"/>
        <v>1378.5829999999999</v>
      </c>
      <c r="F62" s="45">
        <f t="shared" si="1"/>
        <v>1306.0259999999998</v>
      </c>
      <c r="G62" s="45">
        <f t="shared" si="2"/>
        <v>1233.4689999999998</v>
      </c>
    </row>
    <row r="63" spans="1:7" s="29" customFormat="1" x14ac:dyDescent="0.2">
      <c r="A63" s="31">
        <f t="shared" si="3"/>
        <v>49</v>
      </c>
      <c r="B63" s="23" t="s">
        <v>2552</v>
      </c>
      <c r="C63" s="21">
        <v>7825</v>
      </c>
      <c r="D63" s="45">
        <f>E12*31.81</f>
        <v>2353.94</v>
      </c>
      <c r="E63" s="45">
        <f t="shared" si="0"/>
        <v>2236.2429999999999</v>
      </c>
      <c r="F63" s="45">
        <f t="shared" si="1"/>
        <v>2118.5460000000003</v>
      </c>
      <c r="G63" s="45">
        <f t="shared" si="2"/>
        <v>2000.8490000000002</v>
      </c>
    </row>
    <row r="64" spans="1:7" s="29" customFormat="1" x14ac:dyDescent="0.2">
      <c r="A64" s="31">
        <f t="shared" si="3"/>
        <v>50</v>
      </c>
      <c r="B64" s="23" t="s">
        <v>2556</v>
      </c>
      <c r="C64" s="21">
        <v>7826</v>
      </c>
      <c r="D64" s="45">
        <f>E12*8.68</f>
        <v>642.31999999999994</v>
      </c>
      <c r="E64" s="45">
        <f t="shared" si="0"/>
        <v>610.20399999999995</v>
      </c>
      <c r="F64" s="45">
        <f t="shared" si="1"/>
        <v>578.08799999999997</v>
      </c>
      <c r="G64" s="45">
        <f t="shared" si="2"/>
        <v>545.97199999999998</v>
      </c>
    </row>
    <row r="65" spans="1:7" s="29" customFormat="1" x14ac:dyDescent="0.2">
      <c r="A65" s="31">
        <f t="shared" si="3"/>
        <v>51</v>
      </c>
      <c r="B65" s="23" t="s">
        <v>2557</v>
      </c>
      <c r="C65" s="21">
        <v>7923</v>
      </c>
      <c r="D65" s="45">
        <f>E12*73.16</f>
        <v>5413.84</v>
      </c>
      <c r="E65" s="45">
        <f t="shared" si="0"/>
        <v>5143.1480000000001</v>
      </c>
      <c r="F65" s="45">
        <f t="shared" si="1"/>
        <v>4872.4560000000001</v>
      </c>
      <c r="G65" s="45">
        <f t="shared" si="2"/>
        <v>4601.7640000000001</v>
      </c>
    </row>
    <row r="66" spans="1:7" s="29" customFormat="1" x14ac:dyDescent="0.2">
      <c r="A66" s="31">
        <f t="shared" si="3"/>
        <v>52</v>
      </c>
      <c r="B66" s="23" t="s">
        <v>2554</v>
      </c>
      <c r="C66" s="21">
        <v>7924</v>
      </c>
      <c r="D66" s="45">
        <f>E12*59.08</f>
        <v>4371.92</v>
      </c>
      <c r="E66" s="45">
        <f t="shared" si="0"/>
        <v>4153.3240000000005</v>
      </c>
      <c r="F66" s="45">
        <f t="shared" si="1"/>
        <v>3934.7280000000001</v>
      </c>
      <c r="G66" s="45">
        <f t="shared" si="2"/>
        <v>3716.1320000000001</v>
      </c>
    </row>
    <row r="67" spans="1:7" s="29" customFormat="1" x14ac:dyDescent="0.2">
      <c r="A67" s="31">
        <f t="shared" si="3"/>
        <v>53</v>
      </c>
      <c r="B67" s="23" t="s">
        <v>2566</v>
      </c>
      <c r="C67" s="21">
        <v>7604</v>
      </c>
      <c r="D67" s="45">
        <f>E12*31.41</f>
        <v>2324.34</v>
      </c>
      <c r="E67" s="45">
        <f t="shared" si="0"/>
        <v>2208.123</v>
      </c>
      <c r="F67" s="45">
        <f t="shared" si="1"/>
        <v>2091.9059999999999</v>
      </c>
      <c r="G67" s="45">
        <f t="shared" si="2"/>
        <v>1975.6890000000001</v>
      </c>
    </row>
    <row r="68" spans="1:7" x14ac:dyDescent="0.2">
      <c r="A68" s="31">
        <f t="shared" si="3"/>
        <v>54</v>
      </c>
      <c r="B68" s="23" t="s">
        <v>2568</v>
      </c>
      <c r="C68" s="21">
        <v>7852</v>
      </c>
      <c r="D68" s="45">
        <f>E12*27.68</f>
        <v>2048.3200000000002</v>
      </c>
      <c r="E68" s="45">
        <f t="shared" si="0"/>
        <v>1945.9040000000002</v>
      </c>
      <c r="F68" s="45">
        <f t="shared" si="1"/>
        <v>1843.4880000000001</v>
      </c>
      <c r="G68" s="45">
        <f t="shared" si="2"/>
        <v>1741.0720000000001</v>
      </c>
    </row>
    <row r="69" spans="1:7" s="29" customFormat="1" x14ac:dyDescent="0.2">
      <c r="A69" s="31">
        <f t="shared" si="3"/>
        <v>55</v>
      </c>
      <c r="B69" s="23" t="s">
        <v>2571</v>
      </c>
      <c r="C69" s="21">
        <v>8035</v>
      </c>
      <c r="D69" s="45">
        <f>E12*17.11</f>
        <v>1266.1399999999999</v>
      </c>
      <c r="E69" s="45">
        <f t="shared" si="0"/>
        <v>1202.8329999999999</v>
      </c>
      <c r="F69" s="45">
        <f t="shared" si="1"/>
        <v>1139.5259999999998</v>
      </c>
      <c r="G69" s="45">
        <f t="shared" si="2"/>
        <v>1076.2189999999998</v>
      </c>
    </row>
    <row r="70" spans="1:7" s="29" customFormat="1" x14ac:dyDescent="0.2">
      <c r="A70" s="31">
        <f t="shared" si="3"/>
        <v>56</v>
      </c>
      <c r="B70" s="23" t="s">
        <v>2592</v>
      </c>
      <c r="C70" s="21">
        <v>7593</v>
      </c>
      <c r="D70" s="45">
        <f>E12*23.6</f>
        <v>1746.4</v>
      </c>
      <c r="E70" s="45">
        <f t="shared" si="0"/>
        <v>1659.0800000000002</v>
      </c>
      <c r="F70" s="45">
        <f t="shared" si="1"/>
        <v>1571.76</v>
      </c>
      <c r="G70" s="45">
        <f t="shared" si="2"/>
        <v>1484.44</v>
      </c>
    </row>
    <row r="71" spans="1:7" s="29" customFormat="1" x14ac:dyDescent="0.2">
      <c r="A71" s="31">
        <f t="shared" si="3"/>
        <v>57</v>
      </c>
      <c r="B71" s="23" t="s">
        <v>2611</v>
      </c>
      <c r="C71" s="21">
        <v>7835</v>
      </c>
      <c r="D71" s="45">
        <f>E12*22.11</f>
        <v>1636.1399999999999</v>
      </c>
      <c r="E71" s="45">
        <f t="shared" si="0"/>
        <v>1554.3329999999999</v>
      </c>
      <c r="F71" s="45">
        <f t="shared" si="1"/>
        <v>1472.5259999999998</v>
      </c>
      <c r="G71" s="45">
        <f t="shared" si="2"/>
        <v>1390.7189999999998</v>
      </c>
    </row>
    <row r="72" spans="1:7" s="29" customFormat="1" x14ac:dyDescent="0.2">
      <c r="A72" s="31">
        <f t="shared" si="3"/>
        <v>58</v>
      </c>
      <c r="B72" s="23" t="s">
        <v>2618</v>
      </c>
      <c r="C72" s="21">
        <v>9183</v>
      </c>
      <c r="D72" s="45">
        <f>E12*64.18</f>
        <v>4749.3200000000006</v>
      </c>
      <c r="E72" s="45">
        <f t="shared" si="0"/>
        <v>4511.8540000000003</v>
      </c>
      <c r="F72" s="45">
        <f t="shared" si="1"/>
        <v>4274.3880000000008</v>
      </c>
      <c r="G72" s="45">
        <f t="shared" si="2"/>
        <v>4036.9220000000005</v>
      </c>
    </row>
    <row r="73" spans="1:7" s="29" customFormat="1" x14ac:dyDescent="0.2">
      <c r="A73" s="31">
        <f t="shared" si="3"/>
        <v>59</v>
      </c>
      <c r="B73" s="23" t="s">
        <v>2619</v>
      </c>
      <c r="C73" s="21">
        <v>9184</v>
      </c>
      <c r="D73" s="45">
        <f>E12*160.55</f>
        <v>11880.7</v>
      </c>
      <c r="E73" s="45">
        <f t="shared" si="0"/>
        <v>11286.665000000001</v>
      </c>
      <c r="F73" s="45">
        <f t="shared" si="1"/>
        <v>10692.630000000001</v>
      </c>
      <c r="G73" s="45">
        <f t="shared" si="2"/>
        <v>10098.595000000001</v>
      </c>
    </row>
    <row r="74" spans="1:7" s="29" customFormat="1" x14ac:dyDescent="0.2">
      <c r="A74" s="31">
        <f t="shared" si="3"/>
        <v>60</v>
      </c>
      <c r="B74" s="23" t="s">
        <v>2620</v>
      </c>
      <c r="C74" s="21">
        <v>9186</v>
      </c>
      <c r="D74" s="45">
        <f>E12*45.46</f>
        <v>3364.04</v>
      </c>
      <c r="E74" s="45">
        <f t="shared" si="0"/>
        <v>3195.8379999999997</v>
      </c>
      <c r="F74" s="45">
        <f t="shared" si="1"/>
        <v>3027.636</v>
      </c>
      <c r="G74" s="45">
        <f t="shared" si="2"/>
        <v>2859.4340000000002</v>
      </c>
    </row>
    <row r="75" spans="1:7" s="29" customFormat="1" x14ac:dyDescent="0.2">
      <c r="A75" s="31">
        <f t="shared" si="3"/>
        <v>61</v>
      </c>
      <c r="B75" s="23" t="s">
        <v>2573</v>
      </c>
      <c r="C75" s="21">
        <v>7827</v>
      </c>
      <c r="D75" s="45">
        <f>E12*23.91</f>
        <v>1769.34</v>
      </c>
      <c r="E75" s="45">
        <f t="shared" si="0"/>
        <v>1680.8729999999998</v>
      </c>
      <c r="F75" s="45">
        <f t="shared" si="1"/>
        <v>1592.4059999999999</v>
      </c>
      <c r="G75" s="45">
        <f t="shared" si="2"/>
        <v>1503.9389999999999</v>
      </c>
    </row>
    <row r="76" spans="1:7" s="29" customFormat="1" x14ac:dyDescent="0.2">
      <c r="A76" s="31">
        <f t="shared" si="3"/>
        <v>62</v>
      </c>
      <c r="B76" s="23" t="s">
        <v>2576</v>
      </c>
      <c r="C76" s="21">
        <v>7829</v>
      </c>
      <c r="D76" s="45">
        <f>E12*17.6</f>
        <v>1302.4000000000001</v>
      </c>
      <c r="E76" s="45">
        <f t="shared" si="0"/>
        <v>1237.2800000000002</v>
      </c>
      <c r="F76" s="45">
        <f t="shared" si="1"/>
        <v>1172.1600000000001</v>
      </c>
      <c r="G76" s="45">
        <f t="shared" si="2"/>
        <v>1107.04</v>
      </c>
    </row>
    <row r="77" spans="1:7" s="29" customFormat="1" x14ac:dyDescent="0.2">
      <c r="A77" s="31">
        <f t="shared" si="3"/>
        <v>63</v>
      </c>
      <c r="B77" s="23" t="s">
        <v>2577</v>
      </c>
      <c r="C77" s="21">
        <v>7736</v>
      </c>
      <c r="D77" s="45">
        <f>E12*19.83</f>
        <v>1467.4199999999998</v>
      </c>
      <c r="E77" s="45">
        <f t="shared" si="0"/>
        <v>1394.0489999999998</v>
      </c>
      <c r="F77" s="45">
        <f t="shared" si="1"/>
        <v>1320.6779999999999</v>
      </c>
      <c r="G77" s="45">
        <f t="shared" si="2"/>
        <v>1247.3069999999998</v>
      </c>
    </row>
    <row r="78" spans="1:7" s="29" customFormat="1" x14ac:dyDescent="0.2">
      <c r="A78" s="31">
        <f t="shared" si="3"/>
        <v>64</v>
      </c>
      <c r="B78" s="23" t="s">
        <v>2581</v>
      </c>
      <c r="C78" s="21">
        <v>8020</v>
      </c>
      <c r="D78" s="45">
        <f>E12*2.01</f>
        <v>148.73999999999998</v>
      </c>
      <c r="E78" s="45">
        <f t="shared" si="0"/>
        <v>141.30299999999997</v>
      </c>
      <c r="F78" s="45">
        <f t="shared" si="1"/>
        <v>133.86599999999999</v>
      </c>
      <c r="G78" s="45">
        <f t="shared" si="2"/>
        <v>126.42899999999999</v>
      </c>
    </row>
    <row r="79" spans="1:7" s="29" customFormat="1" x14ac:dyDescent="0.2">
      <c r="A79" s="31">
        <f t="shared" si="3"/>
        <v>65</v>
      </c>
      <c r="B79" s="23" t="s">
        <v>2582</v>
      </c>
      <c r="C79" s="21">
        <v>8523</v>
      </c>
      <c r="D79" s="45">
        <f>E12*27.66</f>
        <v>2046.84</v>
      </c>
      <c r="E79" s="45">
        <f t="shared" si="0"/>
        <v>1944.4979999999998</v>
      </c>
      <c r="F79" s="45">
        <f t="shared" si="1"/>
        <v>1842.1559999999999</v>
      </c>
      <c r="G79" s="45">
        <f t="shared" si="2"/>
        <v>1739.8139999999999</v>
      </c>
    </row>
    <row r="80" spans="1:7" s="29" customFormat="1" x14ac:dyDescent="0.2">
      <c r="A80" s="31">
        <f t="shared" si="3"/>
        <v>66</v>
      </c>
      <c r="B80" s="23" t="s">
        <v>2583</v>
      </c>
      <c r="C80" s="21">
        <v>8466</v>
      </c>
      <c r="D80" s="45">
        <f>E12*18.86</f>
        <v>1395.6399999999999</v>
      </c>
      <c r="E80" s="45">
        <f t="shared" si="0"/>
        <v>1325.8579999999999</v>
      </c>
      <c r="F80" s="45">
        <f t="shared" si="1"/>
        <v>1256.0759999999998</v>
      </c>
      <c r="G80" s="45">
        <f t="shared" ref="G80:G100" si="4">D80-D80*15%</f>
        <v>1186.2939999999999</v>
      </c>
    </row>
    <row r="81" spans="1:7" s="29" customFormat="1" x14ac:dyDescent="0.2">
      <c r="A81" s="31">
        <f t="shared" ref="A81:A100" si="5">A80+1</f>
        <v>67</v>
      </c>
      <c r="B81" s="23" t="s">
        <v>2585</v>
      </c>
      <c r="C81" s="21">
        <v>8619</v>
      </c>
      <c r="D81" s="45">
        <f>E12*14.68</f>
        <v>1086.32</v>
      </c>
      <c r="E81" s="45">
        <f t="shared" si="0"/>
        <v>1032.0039999999999</v>
      </c>
      <c r="F81" s="45">
        <f t="shared" si="1"/>
        <v>977.68799999999987</v>
      </c>
      <c r="G81" s="45">
        <f t="shared" si="4"/>
        <v>923.37199999999996</v>
      </c>
    </row>
    <row r="82" spans="1:7" s="29" customFormat="1" x14ac:dyDescent="0.2">
      <c r="A82" s="31">
        <f t="shared" si="5"/>
        <v>68</v>
      </c>
      <c r="B82" s="23" t="s">
        <v>2586</v>
      </c>
      <c r="C82" s="21">
        <v>7765</v>
      </c>
      <c r="D82" s="45">
        <f>E12*15.65</f>
        <v>1158.1000000000001</v>
      </c>
      <c r="E82" s="45">
        <f t="shared" si="0"/>
        <v>1100.1950000000002</v>
      </c>
      <c r="F82" s="45">
        <f t="shared" si="1"/>
        <v>1042.2900000000002</v>
      </c>
      <c r="G82" s="45">
        <f t="shared" si="4"/>
        <v>984.3850000000001</v>
      </c>
    </row>
    <row r="83" spans="1:7" s="29" customFormat="1" x14ac:dyDescent="0.2">
      <c r="A83" s="31">
        <f t="shared" si="5"/>
        <v>69</v>
      </c>
      <c r="B83" s="23" t="s">
        <v>2617</v>
      </c>
      <c r="C83" s="21">
        <v>7636</v>
      </c>
      <c r="D83" s="45">
        <f>E12*19.25</f>
        <v>1424.5</v>
      </c>
      <c r="E83" s="45">
        <f t="shared" si="0"/>
        <v>1353.2750000000001</v>
      </c>
      <c r="F83" s="45">
        <f t="shared" si="1"/>
        <v>1282.05</v>
      </c>
      <c r="G83" s="45">
        <f t="shared" si="4"/>
        <v>1210.825</v>
      </c>
    </row>
    <row r="84" spans="1:7" s="29" customFormat="1" x14ac:dyDescent="0.2">
      <c r="A84" s="31">
        <f t="shared" si="5"/>
        <v>70</v>
      </c>
      <c r="B84" s="23" t="s">
        <v>2584</v>
      </c>
      <c r="C84" s="21">
        <v>7828</v>
      </c>
      <c r="D84" s="45">
        <f>E12*20.78</f>
        <v>1537.72</v>
      </c>
      <c r="E84" s="45">
        <f t="shared" si="0"/>
        <v>1460.8340000000001</v>
      </c>
      <c r="F84" s="45">
        <f t="shared" si="1"/>
        <v>1383.9480000000001</v>
      </c>
      <c r="G84" s="45">
        <f t="shared" si="4"/>
        <v>1307.0620000000001</v>
      </c>
    </row>
    <row r="85" spans="1:7" s="29" customFormat="1" x14ac:dyDescent="0.2">
      <c r="A85" s="31">
        <f t="shared" si="5"/>
        <v>71</v>
      </c>
      <c r="B85" s="23" t="s">
        <v>2622</v>
      </c>
      <c r="C85" s="21">
        <v>7656</v>
      </c>
      <c r="D85" s="45">
        <f>E12*23.98</f>
        <v>1774.52</v>
      </c>
      <c r="E85" s="45">
        <f t="shared" si="0"/>
        <v>1685.7939999999999</v>
      </c>
      <c r="F85" s="45">
        <f t="shared" si="1"/>
        <v>1597.068</v>
      </c>
      <c r="G85" s="45">
        <f t="shared" si="4"/>
        <v>1508.3420000000001</v>
      </c>
    </row>
    <row r="86" spans="1:7" s="29" customFormat="1" x14ac:dyDescent="0.2">
      <c r="A86" s="31">
        <f t="shared" si="5"/>
        <v>72</v>
      </c>
      <c r="B86" s="23" t="s">
        <v>2623</v>
      </c>
      <c r="C86" s="21">
        <v>7613</v>
      </c>
      <c r="D86" s="45">
        <f>E12*18</f>
        <v>1332</v>
      </c>
      <c r="E86" s="45">
        <f t="shared" si="0"/>
        <v>1265.4000000000001</v>
      </c>
      <c r="F86" s="45">
        <f t="shared" si="1"/>
        <v>1198.8</v>
      </c>
      <c r="G86" s="45">
        <f t="shared" si="4"/>
        <v>1132.2</v>
      </c>
    </row>
    <row r="87" spans="1:7" x14ac:dyDescent="0.2">
      <c r="A87" s="31">
        <f t="shared" si="5"/>
        <v>73</v>
      </c>
      <c r="B87" s="23" t="s">
        <v>2569</v>
      </c>
      <c r="C87" s="21">
        <v>7837</v>
      </c>
      <c r="D87" s="45">
        <f>E12*9.15</f>
        <v>677.1</v>
      </c>
      <c r="E87" s="45">
        <f t="shared" si="0"/>
        <v>643.245</v>
      </c>
      <c r="F87" s="45">
        <f t="shared" si="1"/>
        <v>609.39</v>
      </c>
      <c r="G87" s="45">
        <f t="shared" si="4"/>
        <v>575.53500000000008</v>
      </c>
    </row>
    <row r="88" spans="1:7" x14ac:dyDescent="0.2">
      <c r="A88" s="31">
        <f t="shared" si="5"/>
        <v>74</v>
      </c>
      <c r="B88" s="23" t="s">
        <v>2572</v>
      </c>
      <c r="C88" s="21">
        <v>7704</v>
      </c>
      <c r="D88" s="45">
        <f>E12*2.66</f>
        <v>196.84</v>
      </c>
      <c r="E88" s="45">
        <f t="shared" si="0"/>
        <v>186.99799999999999</v>
      </c>
      <c r="F88" s="45">
        <f t="shared" si="1"/>
        <v>177.15600000000001</v>
      </c>
      <c r="G88" s="45">
        <f t="shared" si="4"/>
        <v>167.31399999999999</v>
      </c>
    </row>
    <row r="89" spans="1:7" x14ac:dyDescent="0.2">
      <c r="A89" s="31">
        <f t="shared" si="5"/>
        <v>75</v>
      </c>
      <c r="B89" s="23" t="s">
        <v>2579</v>
      </c>
      <c r="C89" s="21">
        <v>7685</v>
      </c>
      <c r="D89" s="45">
        <f>E12*13.58</f>
        <v>1004.92</v>
      </c>
      <c r="E89" s="45">
        <f t="shared" si="0"/>
        <v>954.67399999999998</v>
      </c>
      <c r="F89" s="45">
        <f t="shared" si="1"/>
        <v>904.428</v>
      </c>
      <c r="G89" s="45">
        <f t="shared" si="4"/>
        <v>854.18200000000002</v>
      </c>
    </row>
    <row r="90" spans="1:7" x14ac:dyDescent="0.2">
      <c r="A90" s="31">
        <f t="shared" si="5"/>
        <v>76</v>
      </c>
      <c r="B90" s="23" t="s">
        <v>2580</v>
      </c>
      <c r="C90" s="21">
        <v>9254</v>
      </c>
      <c r="D90" s="45">
        <f>E12*17.56</f>
        <v>1299.4399999999998</v>
      </c>
      <c r="E90" s="45">
        <f t="shared" si="0"/>
        <v>1234.4679999999998</v>
      </c>
      <c r="F90" s="45">
        <f t="shared" si="1"/>
        <v>1169.4959999999999</v>
      </c>
      <c r="G90" s="45">
        <f t="shared" si="4"/>
        <v>1104.5239999999999</v>
      </c>
    </row>
    <row r="91" spans="1:7" x14ac:dyDescent="0.2">
      <c r="A91" s="31">
        <f t="shared" si="5"/>
        <v>77</v>
      </c>
      <c r="B91" s="23" t="s">
        <v>2587</v>
      </c>
      <c r="C91" s="21">
        <v>7633</v>
      </c>
      <c r="D91" s="45">
        <f>E12*20.71</f>
        <v>1532.54</v>
      </c>
      <c r="E91" s="45">
        <f t="shared" si="0"/>
        <v>1455.913</v>
      </c>
      <c r="F91" s="45">
        <f t="shared" si="1"/>
        <v>1379.2860000000001</v>
      </c>
      <c r="G91" s="45">
        <f t="shared" si="4"/>
        <v>1302.6589999999999</v>
      </c>
    </row>
    <row r="92" spans="1:7" x14ac:dyDescent="0.2">
      <c r="A92" s="31">
        <f t="shared" si="5"/>
        <v>78</v>
      </c>
      <c r="B92" s="23" t="s">
        <v>2588</v>
      </c>
      <c r="C92" s="21">
        <v>7632</v>
      </c>
      <c r="D92" s="45">
        <f>E12*21.55</f>
        <v>1594.7</v>
      </c>
      <c r="E92" s="45">
        <f t="shared" si="0"/>
        <v>1514.9650000000001</v>
      </c>
      <c r="F92" s="45">
        <f t="shared" si="1"/>
        <v>1435.23</v>
      </c>
      <c r="G92" s="45">
        <f t="shared" si="4"/>
        <v>1355.4950000000001</v>
      </c>
    </row>
    <row r="93" spans="1:7" x14ac:dyDescent="0.2">
      <c r="A93" s="31">
        <f t="shared" si="5"/>
        <v>79</v>
      </c>
      <c r="B93" s="23" t="s">
        <v>2589</v>
      </c>
      <c r="C93" s="21">
        <v>7645</v>
      </c>
      <c r="D93" s="45">
        <f>E12*15.26</f>
        <v>1129.24</v>
      </c>
      <c r="E93" s="45">
        <f t="shared" si="0"/>
        <v>1072.778</v>
      </c>
      <c r="F93" s="45">
        <f t="shared" si="1"/>
        <v>1016.316</v>
      </c>
      <c r="G93" s="45">
        <f t="shared" si="4"/>
        <v>959.85400000000004</v>
      </c>
    </row>
    <row r="94" spans="1:7" x14ac:dyDescent="0.2">
      <c r="A94" s="31">
        <f t="shared" si="5"/>
        <v>80</v>
      </c>
      <c r="B94" s="23" t="s">
        <v>2590</v>
      </c>
      <c r="C94" s="21">
        <v>7657</v>
      </c>
      <c r="D94" s="45">
        <f>E12*8.35</f>
        <v>617.9</v>
      </c>
      <c r="E94" s="45">
        <f t="shared" si="0"/>
        <v>587.005</v>
      </c>
      <c r="F94" s="45">
        <f t="shared" si="1"/>
        <v>556.11</v>
      </c>
      <c r="G94" s="45">
        <f t="shared" si="4"/>
        <v>525.21500000000003</v>
      </c>
    </row>
    <row r="95" spans="1:7" s="29" customFormat="1" x14ac:dyDescent="0.2">
      <c r="A95" s="31">
        <f t="shared" si="5"/>
        <v>81</v>
      </c>
      <c r="B95" s="23" t="s">
        <v>2610</v>
      </c>
      <c r="C95" s="21">
        <v>7933</v>
      </c>
      <c r="D95" s="45">
        <f>E12*18.91</f>
        <v>1399.34</v>
      </c>
      <c r="E95" s="45">
        <f t="shared" ref="E95:E100" si="6">D95-D95*5%</f>
        <v>1329.3729999999998</v>
      </c>
      <c r="F95" s="45">
        <f t="shared" ref="F95:F100" si="7">D95-D95*10%</f>
        <v>1259.4059999999999</v>
      </c>
      <c r="G95" s="45">
        <f t="shared" si="4"/>
        <v>1189.4389999999999</v>
      </c>
    </row>
    <row r="96" spans="1:7" x14ac:dyDescent="0.2">
      <c r="A96" s="31">
        <f t="shared" si="5"/>
        <v>82</v>
      </c>
      <c r="B96" s="3" t="s">
        <v>2612</v>
      </c>
      <c r="C96" s="21">
        <v>7684</v>
      </c>
      <c r="D96" s="45">
        <f>E12*21.5</f>
        <v>1591</v>
      </c>
      <c r="E96" s="45">
        <f t="shared" si="6"/>
        <v>1511.45</v>
      </c>
      <c r="F96" s="45">
        <f t="shared" si="7"/>
        <v>1431.9</v>
      </c>
      <c r="G96" s="45">
        <f t="shared" si="4"/>
        <v>1352.35</v>
      </c>
    </row>
    <row r="97" spans="1:7" x14ac:dyDescent="0.2">
      <c r="A97" s="31">
        <f t="shared" si="5"/>
        <v>83</v>
      </c>
      <c r="B97" s="3" t="s">
        <v>2614</v>
      </c>
      <c r="C97" s="21">
        <v>7611</v>
      </c>
      <c r="D97" s="45">
        <f>E12*27.14</f>
        <v>2008.3600000000001</v>
      </c>
      <c r="E97" s="45">
        <f t="shared" si="6"/>
        <v>1907.942</v>
      </c>
      <c r="F97" s="45">
        <f t="shared" si="7"/>
        <v>1807.5240000000001</v>
      </c>
      <c r="G97" s="45">
        <f t="shared" si="4"/>
        <v>1707.1060000000002</v>
      </c>
    </row>
    <row r="98" spans="1:7" x14ac:dyDescent="0.2">
      <c r="A98" s="31">
        <f t="shared" si="5"/>
        <v>84</v>
      </c>
      <c r="B98" s="3" t="s">
        <v>2615</v>
      </c>
      <c r="C98" s="21">
        <v>10448</v>
      </c>
      <c r="D98" s="43">
        <f>E12*130.31</f>
        <v>9642.94</v>
      </c>
      <c r="E98" s="45">
        <f t="shared" si="6"/>
        <v>9160.7929999999997</v>
      </c>
      <c r="F98" s="45">
        <f t="shared" si="7"/>
        <v>8678.6460000000006</v>
      </c>
      <c r="G98" s="45">
        <f t="shared" si="4"/>
        <v>8196.4989999999998</v>
      </c>
    </row>
    <row r="99" spans="1:7" x14ac:dyDescent="0.2">
      <c r="A99" s="31">
        <f t="shared" si="5"/>
        <v>85</v>
      </c>
      <c r="B99" s="3" t="s">
        <v>2616</v>
      </c>
      <c r="C99" s="21">
        <v>9040</v>
      </c>
      <c r="D99" s="43">
        <f>E12*101.75</f>
        <v>7529.5</v>
      </c>
      <c r="E99" s="45">
        <f t="shared" si="6"/>
        <v>7153.0249999999996</v>
      </c>
      <c r="F99" s="45">
        <f t="shared" si="7"/>
        <v>6776.55</v>
      </c>
      <c r="G99" s="45">
        <f t="shared" si="4"/>
        <v>6400.0749999999998</v>
      </c>
    </row>
    <row r="100" spans="1:7" s="29" customFormat="1" x14ac:dyDescent="0.2">
      <c r="A100" s="31">
        <f t="shared" si="5"/>
        <v>86</v>
      </c>
      <c r="B100" s="31" t="s">
        <v>2624</v>
      </c>
      <c r="C100" s="21">
        <v>7612</v>
      </c>
      <c r="D100" s="45">
        <f>E12*10.33</f>
        <v>764.42</v>
      </c>
      <c r="E100" s="45">
        <f t="shared" si="6"/>
        <v>726.19899999999996</v>
      </c>
      <c r="F100" s="45">
        <f t="shared" si="7"/>
        <v>687.97799999999995</v>
      </c>
      <c r="G100" s="45">
        <f t="shared" si="4"/>
        <v>649.75699999999995</v>
      </c>
    </row>
    <row r="101" spans="1:7" s="29" customFormat="1" x14ac:dyDescent="0.2">
      <c r="A101" s="31"/>
      <c r="B101" s="31"/>
      <c r="C101" s="21"/>
      <c r="D101" s="21"/>
      <c r="E101" s="21"/>
      <c r="F101" s="21"/>
      <c r="G101" s="31"/>
    </row>
    <row r="102" spans="1:7" x14ac:dyDescent="0.2">
      <c r="A102" s="31"/>
      <c r="B102" s="3"/>
      <c r="C102" s="3"/>
      <c r="D102" s="3"/>
      <c r="E102" s="3"/>
      <c r="F102" s="21"/>
      <c r="G102" s="31"/>
    </row>
    <row r="105" spans="1:7" ht="15" x14ac:dyDescent="0.2">
      <c r="B105" s="52" t="s">
        <v>11</v>
      </c>
    </row>
    <row r="884" spans="2:2" x14ac:dyDescent="0.2">
      <c r="B884" s="35" t="s">
        <v>1274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C10" sqref="C10"/>
    </sheetView>
  </sheetViews>
  <sheetFormatPr defaultRowHeight="12.75" x14ac:dyDescent="0.2"/>
  <cols>
    <col min="2" max="2" width="20.85546875" customWidth="1"/>
    <col min="3" max="3" width="93.140625" customWidth="1"/>
    <col min="4" max="4" width="29.42578125" customWidth="1"/>
    <col min="5" max="5" width="21.85546875" customWidth="1"/>
  </cols>
  <sheetData>
    <row r="1" spans="1:5" s="29" customFormat="1" x14ac:dyDescent="0.2"/>
    <row r="2" spans="1:5" s="29" customFormat="1" x14ac:dyDescent="0.2"/>
    <row r="3" spans="1:5" s="29" customFormat="1" x14ac:dyDescent="0.2"/>
    <row r="4" spans="1:5" s="29" customFormat="1" x14ac:dyDescent="0.2">
      <c r="B4" s="4" t="s">
        <v>2462</v>
      </c>
    </row>
    <row r="5" spans="1:5" s="29" customFormat="1" x14ac:dyDescent="0.2">
      <c r="B5" s="4" t="s">
        <v>0</v>
      </c>
    </row>
    <row r="6" spans="1:5" s="29" customFormat="1" x14ac:dyDescent="0.2">
      <c r="B6" s="4" t="s">
        <v>1</v>
      </c>
    </row>
    <row r="7" spans="1:5" s="29" customFormat="1" x14ac:dyDescent="0.2">
      <c r="B7" s="10" t="s">
        <v>24</v>
      </c>
    </row>
    <row r="8" spans="1:5" s="29" customFormat="1" x14ac:dyDescent="0.2">
      <c r="B8" s="4" t="s">
        <v>13</v>
      </c>
    </row>
    <row r="9" spans="1:5" s="29" customFormat="1" x14ac:dyDescent="0.2">
      <c r="B9" s="4" t="s">
        <v>2</v>
      </c>
    </row>
    <row r="10" spans="1:5" s="29" customFormat="1" x14ac:dyDescent="0.2"/>
    <row r="11" spans="1:5" x14ac:dyDescent="0.2">
      <c r="C11" s="50" t="s">
        <v>2634</v>
      </c>
    </row>
    <row r="12" spans="1:5" x14ac:dyDescent="0.2">
      <c r="E12" s="53">
        <v>74</v>
      </c>
    </row>
    <row r="13" spans="1:5" s="29" customFormat="1" x14ac:dyDescent="0.2"/>
    <row r="14" spans="1:5" s="29" customFormat="1" x14ac:dyDescent="0.2">
      <c r="A14" s="31"/>
      <c r="B14" s="31" t="s">
        <v>2473</v>
      </c>
      <c r="C14" s="31" t="s">
        <v>736</v>
      </c>
      <c r="D14" s="31" t="s">
        <v>2633</v>
      </c>
    </row>
    <row r="15" spans="1:5" x14ac:dyDescent="0.2">
      <c r="B15" s="48" t="s">
        <v>2632</v>
      </c>
      <c r="C15" s="49" t="s">
        <v>2631</v>
      </c>
      <c r="D15" s="51">
        <f>E12*84.08</f>
        <v>6221.92</v>
      </c>
    </row>
    <row r="16" spans="1:5" x14ac:dyDescent="0.2">
      <c r="B16" s="27" t="s">
        <v>2637</v>
      </c>
      <c r="C16" s="1" t="s">
        <v>2636</v>
      </c>
      <c r="D16" s="36">
        <f>E12*42.5</f>
        <v>3145</v>
      </c>
    </row>
    <row r="17" spans="2:4" x14ac:dyDescent="0.2">
      <c r="B17" s="27" t="s">
        <v>982</v>
      </c>
      <c r="C17" s="1" t="s">
        <v>2635</v>
      </c>
      <c r="D17" s="36">
        <f>E12*207.3</f>
        <v>15340.2</v>
      </c>
    </row>
    <row r="18" spans="2:4" x14ac:dyDescent="0.2">
      <c r="B18" s="27" t="s">
        <v>999</v>
      </c>
      <c r="C18" s="1" t="s">
        <v>2638</v>
      </c>
      <c r="D18" s="36">
        <f>E12*174.9</f>
        <v>12942.6</v>
      </c>
    </row>
    <row r="19" spans="2:4" x14ac:dyDescent="0.2">
      <c r="B19" s="27">
        <v>215171</v>
      </c>
      <c r="C19" s="3" t="s">
        <v>2640</v>
      </c>
      <c r="D19" s="36">
        <f>E12*68.59</f>
        <v>5075.66</v>
      </c>
    </row>
    <row r="20" spans="2:4" x14ac:dyDescent="0.2">
      <c r="B20" s="27" t="s">
        <v>997</v>
      </c>
      <c r="C20" s="3" t="s">
        <v>2641</v>
      </c>
      <c r="D20" s="36">
        <f>E12*39.06</f>
        <v>2890.44</v>
      </c>
    </row>
    <row r="21" spans="2:4" s="29" customFormat="1" x14ac:dyDescent="0.2">
      <c r="B21" s="27" t="s">
        <v>2668</v>
      </c>
      <c r="C21" s="31" t="s">
        <v>2665</v>
      </c>
      <c r="D21" s="36">
        <f>E12*15.18</f>
        <v>1123.32</v>
      </c>
    </row>
    <row r="22" spans="2:4" s="29" customFormat="1" x14ac:dyDescent="0.2">
      <c r="B22" s="27" t="s">
        <v>2667</v>
      </c>
      <c r="C22" s="31" t="s">
        <v>2666</v>
      </c>
      <c r="D22" s="36">
        <f>E12*17.28</f>
        <v>1278.72</v>
      </c>
    </row>
    <row r="23" spans="2:4" s="29" customFormat="1" x14ac:dyDescent="0.2">
      <c r="B23" s="27" t="s">
        <v>1010</v>
      </c>
      <c r="C23" s="31" t="s">
        <v>2646</v>
      </c>
      <c r="D23" s="36">
        <f>E12*158.3</f>
        <v>11714.2</v>
      </c>
    </row>
    <row r="24" spans="2:4" x14ac:dyDescent="0.2">
      <c r="B24" s="27">
        <v>353939</v>
      </c>
      <c r="C24" s="3" t="s">
        <v>2642</v>
      </c>
      <c r="D24" s="36">
        <f>E12*23.01</f>
        <v>1702.74</v>
      </c>
    </row>
    <row r="25" spans="2:4" s="29" customFormat="1" x14ac:dyDescent="0.2">
      <c r="B25" s="27">
        <v>453741001</v>
      </c>
      <c r="C25" s="31" t="s">
        <v>2639</v>
      </c>
      <c r="D25" s="36">
        <f>E12*40</f>
        <v>2960</v>
      </c>
    </row>
    <row r="26" spans="2:4" x14ac:dyDescent="0.2">
      <c r="B26" s="27">
        <v>342637</v>
      </c>
      <c r="C26" s="3" t="s">
        <v>2643</v>
      </c>
      <c r="D26" s="36">
        <f>E12*73.26</f>
        <v>5421.2400000000007</v>
      </c>
    </row>
    <row r="27" spans="2:4" x14ac:dyDescent="0.2">
      <c r="B27" s="27">
        <v>106082</v>
      </c>
      <c r="C27" s="3" t="s">
        <v>2645</v>
      </c>
      <c r="D27" s="36">
        <f>E12*139</f>
        <v>10286</v>
      </c>
    </row>
    <row r="28" spans="2:4" s="29" customFormat="1" x14ac:dyDescent="0.2">
      <c r="B28" s="27">
        <v>11113935</v>
      </c>
      <c r="C28" s="31" t="s">
        <v>2644</v>
      </c>
      <c r="D28" s="36">
        <f>E12*83.16</f>
        <v>6153.84</v>
      </c>
    </row>
    <row r="29" spans="2:4" x14ac:dyDescent="0.2">
      <c r="B29" s="27">
        <v>388815</v>
      </c>
      <c r="C29" s="3" t="s">
        <v>2647</v>
      </c>
      <c r="D29" s="36">
        <f>E12*110.03</f>
        <v>8142.22</v>
      </c>
    </row>
    <row r="30" spans="2:4" x14ac:dyDescent="0.2">
      <c r="B30" s="27" t="s">
        <v>987</v>
      </c>
      <c r="C30" s="3" t="s">
        <v>2648</v>
      </c>
      <c r="D30" s="36">
        <f>E12*64</f>
        <v>4736</v>
      </c>
    </row>
    <row r="31" spans="2:4" x14ac:dyDescent="0.2">
      <c r="B31" s="27">
        <v>11114862</v>
      </c>
      <c r="C31" s="3" t="s">
        <v>2649</v>
      </c>
      <c r="D31" s="36">
        <f>E12*94.5</f>
        <v>6993</v>
      </c>
    </row>
    <row r="32" spans="2:4" x14ac:dyDescent="0.2">
      <c r="B32" s="27" t="s">
        <v>1022</v>
      </c>
      <c r="C32" s="3" t="s">
        <v>2650</v>
      </c>
      <c r="D32" s="36">
        <f>E12*149.35</f>
        <v>11051.9</v>
      </c>
    </row>
    <row r="33" spans="2:4" x14ac:dyDescent="0.2">
      <c r="B33" s="27">
        <v>11114892</v>
      </c>
      <c r="C33" s="3" t="s">
        <v>2651</v>
      </c>
      <c r="D33" s="36">
        <f>E12*147.29</f>
        <v>10899.46</v>
      </c>
    </row>
    <row r="34" spans="2:4" x14ac:dyDescent="0.2">
      <c r="B34" s="27">
        <v>376930</v>
      </c>
      <c r="C34" s="3" t="s">
        <v>2652</v>
      </c>
      <c r="D34" s="36">
        <f>E12*104.05</f>
        <v>7699.7</v>
      </c>
    </row>
    <row r="35" spans="2:4" x14ac:dyDescent="0.2">
      <c r="B35" s="27" t="s">
        <v>1020</v>
      </c>
      <c r="C35" s="3" t="s">
        <v>2653</v>
      </c>
      <c r="D35" s="36">
        <f>E12*4.13</f>
        <v>305.62</v>
      </c>
    </row>
    <row r="36" spans="2:4" x14ac:dyDescent="0.2">
      <c r="B36" s="27">
        <v>14883</v>
      </c>
      <c r="C36" s="3" t="s">
        <v>2654</v>
      </c>
      <c r="D36" s="36">
        <f>E12*38.98</f>
        <v>2884.52</v>
      </c>
    </row>
    <row r="37" spans="2:4" x14ac:dyDescent="0.2">
      <c r="B37" s="27">
        <v>497142</v>
      </c>
      <c r="C37" s="3" t="s">
        <v>2655</v>
      </c>
      <c r="D37" s="36">
        <f>E12*48.58</f>
        <v>3594.92</v>
      </c>
    </row>
    <row r="38" spans="2:4" x14ac:dyDescent="0.2">
      <c r="B38" s="27">
        <v>406287</v>
      </c>
      <c r="C38" s="3" t="s">
        <v>2656</v>
      </c>
      <c r="D38" s="36">
        <f>E12*18.9</f>
        <v>1398.6</v>
      </c>
    </row>
    <row r="39" spans="2:4" x14ac:dyDescent="0.2">
      <c r="B39" s="27" t="s">
        <v>1024</v>
      </c>
      <c r="C39" s="3" t="s">
        <v>2657</v>
      </c>
      <c r="D39" s="36">
        <f>E12*27.43</f>
        <v>2029.82</v>
      </c>
    </row>
    <row r="40" spans="2:4" x14ac:dyDescent="0.2">
      <c r="B40" s="9">
        <v>183450001</v>
      </c>
      <c r="C40" s="1" t="s">
        <v>2658</v>
      </c>
      <c r="D40" s="36">
        <f>E12*19.17</f>
        <v>1418.5800000000002</v>
      </c>
    </row>
    <row r="41" spans="2:4" x14ac:dyDescent="0.2">
      <c r="B41" s="9">
        <v>183101006</v>
      </c>
      <c r="C41" s="1" t="s">
        <v>2659</v>
      </c>
      <c r="D41" s="36">
        <f>E12*17.5</f>
        <v>1295</v>
      </c>
    </row>
    <row r="42" spans="2:4" x14ac:dyDescent="0.2">
      <c r="B42" s="9">
        <v>397563</v>
      </c>
      <c r="C42" s="1" t="s">
        <v>2660</v>
      </c>
      <c r="D42" s="36">
        <f>E12*3.58</f>
        <v>264.92</v>
      </c>
    </row>
    <row r="43" spans="2:4" s="29" customFormat="1" x14ac:dyDescent="0.2">
      <c r="B43" s="32" t="s">
        <v>2662</v>
      </c>
      <c r="C43" s="30" t="s">
        <v>2661</v>
      </c>
      <c r="D43" s="36">
        <f>E12*1.25</f>
        <v>92.5</v>
      </c>
    </row>
    <row r="44" spans="2:4" x14ac:dyDescent="0.2">
      <c r="B44" s="9">
        <v>354902</v>
      </c>
      <c r="C44" s="1" t="s">
        <v>2663</v>
      </c>
      <c r="D44" s="36">
        <f>E12*31.52</f>
        <v>2332.48</v>
      </c>
    </row>
    <row r="45" spans="2:4" x14ac:dyDescent="0.2">
      <c r="B45" s="9">
        <v>408719</v>
      </c>
      <c r="C45" s="1" t="s">
        <v>2664</v>
      </c>
      <c r="D45" s="36">
        <f>E12*15.25</f>
        <v>1128.5</v>
      </c>
    </row>
    <row r="46" spans="2:4" x14ac:dyDescent="0.2">
      <c r="B46" s="9" t="s">
        <v>1025</v>
      </c>
      <c r="C46" s="1" t="s">
        <v>2669</v>
      </c>
      <c r="D46" s="36">
        <f>E12*48.65</f>
        <v>3600.1</v>
      </c>
    </row>
    <row r="47" spans="2:4" x14ac:dyDescent="0.2">
      <c r="B47" s="9" t="s">
        <v>1026</v>
      </c>
      <c r="C47" s="1" t="s">
        <v>2670</v>
      </c>
      <c r="D47" s="36">
        <f>E12*50.89</f>
        <v>3765.86</v>
      </c>
    </row>
    <row r="48" spans="2:4" s="29" customFormat="1" x14ac:dyDescent="0.2">
      <c r="B48" s="32">
        <v>469084</v>
      </c>
      <c r="C48" s="30" t="s">
        <v>2671</v>
      </c>
      <c r="D48" s="36">
        <f>E12*225.56</f>
        <v>16691.439999999999</v>
      </c>
    </row>
    <row r="49" spans="2:4" x14ac:dyDescent="0.2">
      <c r="B49" s="9" t="s">
        <v>1146</v>
      </c>
      <c r="C49" s="1" t="s">
        <v>2672</v>
      </c>
      <c r="D49" s="36">
        <f>E12*7</f>
        <v>518</v>
      </c>
    </row>
    <row r="50" spans="2:4" x14ac:dyDescent="0.2">
      <c r="B50" s="9">
        <v>341304</v>
      </c>
      <c r="C50" s="1" t="s">
        <v>983</v>
      </c>
      <c r="D50" s="36">
        <f>E12*19.44</f>
        <v>1438.5600000000002</v>
      </c>
    </row>
    <row r="51" spans="2:4" x14ac:dyDescent="0.2">
      <c r="B51" s="9">
        <v>470716</v>
      </c>
      <c r="C51" s="1" t="s">
        <v>984</v>
      </c>
      <c r="D51" s="36">
        <f>E12*19.44</f>
        <v>1438.5600000000002</v>
      </c>
    </row>
    <row r="52" spans="2:4" x14ac:dyDescent="0.2">
      <c r="B52" s="9">
        <v>1852330000</v>
      </c>
      <c r="C52" s="1" t="s">
        <v>985</v>
      </c>
      <c r="D52" s="36">
        <f>E12*19.44</f>
        <v>1438.5600000000002</v>
      </c>
    </row>
    <row r="53" spans="2:4" x14ac:dyDescent="0.2">
      <c r="B53" s="9">
        <v>470724</v>
      </c>
      <c r="C53" s="1" t="s">
        <v>986</v>
      </c>
      <c r="D53" s="36">
        <f>E12*19.44</f>
        <v>1438.5600000000002</v>
      </c>
    </row>
    <row r="54" spans="2:4" x14ac:dyDescent="0.2">
      <c r="B54" s="9">
        <v>469556</v>
      </c>
      <c r="C54" s="1" t="s">
        <v>1007</v>
      </c>
      <c r="D54" s="36">
        <f>E12*19.44</f>
        <v>1438.5600000000002</v>
      </c>
    </row>
    <row r="55" spans="2:4" x14ac:dyDescent="0.2">
      <c r="B55" s="9" t="s">
        <v>998</v>
      </c>
      <c r="C55" s="1" t="s">
        <v>2673</v>
      </c>
      <c r="D55" s="36">
        <f>E12*8.93</f>
        <v>660.81999999999994</v>
      </c>
    </row>
    <row r="56" spans="2:4" x14ac:dyDescent="0.2">
      <c r="B56" s="9"/>
      <c r="C56" s="1"/>
      <c r="D56" s="3"/>
    </row>
    <row r="57" spans="2:4" x14ac:dyDescent="0.2">
      <c r="B57" s="9"/>
      <c r="C57" s="1"/>
      <c r="D57" s="3"/>
    </row>
    <row r="60" spans="2:4" ht="15" x14ac:dyDescent="0.2">
      <c r="C60" s="52" t="s">
        <v>11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запчасти  ассортимент</vt:lpstr>
      <vt:lpstr>кормас</vt:lpstr>
      <vt:lpstr>втулки</vt:lpstr>
      <vt:lpstr>вебасто</vt:lpstr>
    </vt:vector>
  </TitlesOfParts>
  <Company>stankoimport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p.timofeeva</dc:creator>
  <cp:lastModifiedBy>sony</cp:lastModifiedBy>
  <cp:lastPrinted>2016-10-25T06:02:52Z</cp:lastPrinted>
  <dcterms:created xsi:type="dcterms:W3CDTF">2008-10-20T08:08:24Z</dcterms:created>
  <dcterms:modified xsi:type="dcterms:W3CDTF">2016-11-15T07:51:38Z</dcterms:modified>
</cp:coreProperties>
</file>